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960" windowWidth="12000" windowHeight="4665"/>
  </bookViews>
  <sheets>
    <sheet name="Plan de Obras FREBA" sheetId="7" r:id="rId1"/>
    <sheet name="Criterios y Ponderaciones" sheetId="6" r:id="rId2"/>
    <sheet name="Montos de Referencia" sheetId="10" r:id="rId3"/>
    <sheet name="Referencias" sheetId="8" r:id="rId4"/>
  </sheets>
  <definedNames>
    <definedName name="_xlnm._FilterDatabase" localSheetId="0" hidden="1">'Plan de Obras FREBA'!$C$1:$AF$114</definedName>
    <definedName name="_xlnm.Print_Area" localSheetId="0">'Plan de Obras FREBA'!$D$1:$U$4</definedName>
    <definedName name="_xlnm.Print_Titles" localSheetId="0">'Plan de Obras FREBA'!$1:$3</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2" i="7" l="1"/>
  <c r="Q196" i="7" l="1"/>
  <c r="O196" i="7"/>
  <c r="M196" i="7"/>
  <c r="K196" i="7"/>
  <c r="I196" i="7"/>
  <c r="Q181" i="7"/>
  <c r="O181" i="7"/>
  <c r="M181" i="7"/>
  <c r="K181" i="7"/>
  <c r="I181" i="7"/>
  <c r="Q170" i="7"/>
  <c r="O170" i="7"/>
  <c r="M170" i="7"/>
  <c r="K170" i="7"/>
  <c r="I170" i="7"/>
  <c r="Q154" i="7"/>
  <c r="O154" i="7"/>
  <c r="M154" i="7"/>
  <c r="K154" i="7"/>
  <c r="I154" i="7"/>
  <c r="Q126" i="7"/>
  <c r="O126" i="7"/>
  <c r="M126" i="7"/>
  <c r="K126" i="7"/>
  <c r="I126" i="7"/>
  <c r="Q89" i="7"/>
  <c r="O89" i="7"/>
  <c r="M89" i="7"/>
  <c r="K89" i="7"/>
  <c r="I89" i="7"/>
  <c r="Q61" i="7"/>
  <c r="O61" i="7"/>
  <c r="M61" i="7"/>
  <c r="K61" i="7"/>
  <c r="I61" i="7"/>
  <c r="C4" i="10"/>
  <c r="F64" i="7" l="1"/>
  <c r="Q47" i="7"/>
  <c r="O47" i="7"/>
  <c r="M47" i="7"/>
  <c r="K47" i="7"/>
  <c r="I47" i="7"/>
  <c r="F76" i="7"/>
  <c r="I76" i="7"/>
  <c r="K76" i="7"/>
  <c r="M76" i="7"/>
  <c r="O76" i="7"/>
  <c r="Q76" i="7"/>
  <c r="U76" i="7"/>
  <c r="Q19" i="7"/>
  <c r="O19" i="7"/>
  <c r="M19" i="7"/>
  <c r="K19" i="7"/>
  <c r="I19" i="7"/>
  <c r="Q11" i="7"/>
  <c r="O11" i="7"/>
  <c r="M11" i="7"/>
  <c r="K11" i="7"/>
  <c r="I11" i="7"/>
  <c r="I12" i="7"/>
  <c r="K12" i="7"/>
  <c r="M12" i="7"/>
  <c r="O12" i="7"/>
  <c r="Q12" i="7"/>
  <c r="T12" i="7"/>
  <c r="T15" i="7" l="1"/>
  <c r="T190" i="7"/>
  <c r="T186" i="7"/>
  <c r="T148" i="7"/>
  <c r="T81" i="7"/>
  <c r="T80" i="7"/>
  <c r="T116" i="7"/>
  <c r="T119" i="7"/>
  <c r="T30" i="7"/>
  <c r="T73" i="7"/>
  <c r="T34" i="7"/>
  <c r="T54" i="7"/>
  <c r="T32" i="7"/>
  <c r="T83" i="7"/>
  <c r="T33" i="7"/>
  <c r="T51" i="7"/>
  <c r="T53" i="7"/>
  <c r="T82" i="7"/>
  <c r="T74" i="7"/>
  <c r="T131" i="7"/>
  <c r="T188" i="7"/>
  <c r="T145" i="7"/>
  <c r="T189" i="7"/>
  <c r="T185" i="7"/>
  <c r="T38" i="7"/>
  <c r="T147" i="7"/>
  <c r="T187" i="7"/>
  <c r="T75" i="7"/>
  <c r="T14" i="7"/>
  <c r="T146" i="7"/>
  <c r="T77" i="7"/>
  <c r="T79" i="7"/>
  <c r="T120" i="7"/>
  <c r="T118" i="7"/>
  <c r="T130" i="7"/>
  <c r="T117" i="7"/>
  <c r="T109" i="7"/>
  <c r="T107" i="7"/>
  <c r="T108" i="7"/>
  <c r="T72" i="7"/>
  <c r="F26" i="7"/>
  <c r="F13" i="7" l="1"/>
  <c r="F39" i="7"/>
  <c r="F28" i="7"/>
  <c r="F188" i="7"/>
  <c r="F15" i="7"/>
  <c r="F190" i="7"/>
  <c r="F186" i="7"/>
  <c r="F145" i="7"/>
  <c r="F189" i="7"/>
  <c r="F185" i="7"/>
  <c r="F148" i="7"/>
  <c r="F38" i="7"/>
  <c r="F147" i="7"/>
  <c r="F187" i="7"/>
  <c r="F20" i="7"/>
  <c r="F75" i="7"/>
  <c r="F14" i="7"/>
  <c r="F146" i="7"/>
  <c r="F77" i="7"/>
  <c r="F80" i="7"/>
  <c r="F79" i="7"/>
  <c r="F116" i="7"/>
  <c r="F119" i="7"/>
  <c r="F120" i="7"/>
  <c r="F34" i="7"/>
  <c r="F83" i="7"/>
  <c r="F33" i="7"/>
  <c r="F53" i="7"/>
  <c r="F74" i="7"/>
  <c r="F82" i="7"/>
  <c r="F131" i="7"/>
  <c r="F48" i="7"/>
  <c r="F56" i="7" s="1"/>
  <c r="F78" i="7"/>
  <c r="F130" i="7"/>
  <c r="F117" i="7"/>
  <c r="F109" i="7"/>
  <c r="F57" i="7" l="1"/>
  <c r="F211" i="7" s="1"/>
  <c r="F107" i="7"/>
  <c r="F108" i="7"/>
  <c r="F72" i="7"/>
  <c r="U138" i="7" l="1"/>
  <c r="F161" i="7" l="1"/>
  <c r="F138" i="7"/>
  <c r="F175" i="7"/>
  <c r="F183" i="7"/>
  <c r="F160" i="7"/>
  <c r="F159" i="7"/>
  <c r="F173" i="7"/>
  <c r="F174" i="7"/>
  <c r="F163" i="7"/>
  <c r="F162" i="7"/>
  <c r="F184" i="7"/>
  <c r="F110" i="7"/>
  <c r="F164" i="7"/>
  <c r="F172" i="7"/>
  <c r="F198" i="7"/>
  <c r="F197" i="7"/>
  <c r="F199" i="7" s="1"/>
  <c r="F171" i="7"/>
  <c r="F137" i="7"/>
  <c r="F136" i="7"/>
  <c r="F182" i="7"/>
  <c r="F191" i="7" s="1"/>
  <c r="F135" i="7"/>
  <c r="F157" i="7"/>
  <c r="F141" i="7"/>
  <c r="F140" i="7"/>
  <c r="F134" i="7"/>
  <c r="F133" i="7"/>
  <c r="F115" i="7"/>
  <c r="F158" i="7"/>
  <c r="F106" i="7"/>
  <c r="F105" i="7"/>
  <c r="F132" i="7"/>
  <c r="F69" i="7"/>
  <c r="F165" i="7" l="1"/>
  <c r="F166" i="7" s="1"/>
  <c r="F219" i="7" s="1"/>
  <c r="F176" i="7"/>
  <c r="F177" i="7"/>
  <c r="F221" i="7" s="1"/>
  <c r="F192" i="7"/>
  <c r="F223" i="7" s="1"/>
  <c r="F200" i="7"/>
  <c r="F225" i="7" s="1"/>
  <c r="F70" i="7"/>
  <c r="F103" i="7"/>
  <c r="F102" i="7"/>
  <c r="F101" i="7"/>
  <c r="F128" i="7"/>
  <c r="F98" i="7"/>
  <c r="F97" i="7"/>
  <c r="F127" i="7"/>
  <c r="F144" i="7"/>
  <c r="F143" i="7"/>
  <c r="F142" i="7"/>
  <c r="F139" i="7"/>
  <c r="F112" i="7"/>
  <c r="F111" i="7"/>
  <c r="F149" i="7" l="1"/>
  <c r="F150" i="7" s="1"/>
  <c r="F217" i="7" s="1"/>
  <c r="F71" i="7"/>
  <c r="F100" i="7"/>
  <c r="F114" i="7"/>
  <c r="F113" i="7"/>
  <c r="F96" i="7"/>
  <c r="F95" i="7"/>
  <c r="F68" i="7"/>
  <c r="F67" i="7"/>
  <c r="F94" i="7" l="1"/>
  <c r="F93" i="7"/>
  <c r="F92" i="7"/>
  <c r="F91" i="7"/>
  <c r="F90" i="7"/>
  <c r="F121" i="7" s="1"/>
  <c r="F66" i="7"/>
  <c r="F65" i="7"/>
  <c r="F63" i="7" l="1"/>
  <c r="F84" i="7" s="1"/>
  <c r="F85" i="7" l="1"/>
  <c r="F213" i="7" s="1"/>
  <c r="F122" i="7"/>
  <c r="F215" i="7" s="1"/>
  <c r="F21" i="7"/>
  <c r="F204" i="7" l="1"/>
  <c r="F206" i="7" s="1"/>
  <c r="F43" i="7"/>
  <c r="F209" i="7" s="1"/>
  <c r="U5" i="7"/>
  <c r="U137" i="7"/>
  <c r="U136" i="7"/>
  <c r="U6" i="7"/>
  <c r="U143" i="7"/>
  <c r="U142" i="7"/>
  <c r="U139" i="7"/>
  <c r="U112" i="7"/>
  <c r="U71" i="7"/>
  <c r="U63" i="7"/>
  <c r="U92" i="7"/>
  <c r="U67" i="7"/>
  <c r="U161" i="7"/>
  <c r="U7" i="7"/>
  <c r="U198" i="7"/>
  <c r="U197" i="7"/>
  <c r="U171" i="7"/>
  <c r="U172" i="7"/>
  <c r="U164" i="7"/>
  <c r="U110" i="7"/>
  <c r="U162" i="7"/>
  <c r="U163" i="7"/>
  <c r="U174" i="7"/>
  <c r="U173" i="7"/>
  <c r="U184" i="7"/>
  <c r="U159" i="7"/>
  <c r="U160" i="7"/>
  <c r="U183" i="7"/>
  <c r="U175" i="7"/>
  <c r="U95" i="7"/>
  <c r="U114" i="7"/>
  <c r="U113" i="7"/>
  <c r="U182" i="7"/>
  <c r="U135" i="7"/>
  <c r="U157" i="7"/>
  <c r="U140" i="7"/>
  <c r="U141" i="7"/>
  <c r="U134" i="7"/>
  <c r="U133" i="7"/>
  <c r="U115" i="7"/>
  <c r="U128" i="7"/>
  <c r="U97" i="7"/>
  <c r="U158" i="7"/>
  <c r="U106" i="7"/>
  <c r="U105" i="7"/>
  <c r="U132" i="7"/>
  <c r="U69" i="7"/>
  <c r="U70" i="7"/>
  <c r="U103" i="7"/>
  <c r="U102" i="7"/>
  <c r="U101" i="7"/>
  <c r="U98" i="7"/>
  <c r="U104" i="7"/>
  <c r="U127" i="7"/>
  <c r="U144" i="7"/>
  <c r="U111" i="7"/>
  <c r="U4" i="7"/>
  <c r="U100" i="7"/>
  <c r="G225" i="7" l="1"/>
  <c r="U21" i="7"/>
  <c r="U50" i="7"/>
  <c r="U48" i="7"/>
  <c r="U41" i="7"/>
  <c r="U78" i="7"/>
  <c r="U96" i="7"/>
  <c r="U68" i="7"/>
  <c r="U94" i="7"/>
  <c r="U93" i="7"/>
  <c r="U91" i="7"/>
  <c r="U90" i="7"/>
  <c r="U66" i="7"/>
  <c r="U65" i="7"/>
  <c r="U64" i="7"/>
  <c r="U62" i="7"/>
  <c r="Q35" i="7" l="1"/>
  <c r="O35" i="7"/>
  <c r="M35" i="7"/>
  <c r="K35" i="7"/>
  <c r="I35" i="7"/>
  <c r="Q63" i="7" l="1"/>
  <c r="Q13" i="7"/>
  <c r="O13" i="7"/>
  <c r="M13" i="7"/>
  <c r="K13" i="7"/>
  <c r="I13" i="7"/>
  <c r="Q27" i="7"/>
  <c r="O27" i="7"/>
  <c r="M27" i="7"/>
  <c r="K27" i="7"/>
  <c r="I27" i="7"/>
  <c r="Q26" i="7"/>
  <c r="O26" i="7"/>
  <c r="M26" i="7"/>
  <c r="K26" i="7"/>
  <c r="I26" i="7"/>
  <c r="Q24" i="7"/>
  <c r="O24" i="7"/>
  <c r="M24" i="7"/>
  <c r="K24" i="7"/>
  <c r="I24" i="7"/>
  <c r="Q23" i="7"/>
  <c r="O23" i="7"/>
  <c r="M23" i="7"/>
  <c r="K23" i="7"/>
  <c r="I23" i="7"/>
  <c r="Q40" i="7"/>
  <c r="O40" i="7"/>
  <c r="M40" i="7"/>
  <c r="K40" i="7"/>
  <c r="I40" i="7"/>
  <c r="Q39" i="7"/>
  <c r="O39" i="7"/>
  <c r="M39" i="7"/>
  <c r="K39" i="7"/>
  <c r="I39" i="7"/>
  <c r="Q29" i="7"/>
  <c r="O29" i="7"/>
  <c r="M29" i="7"/>
  <c r="K29" i="7"/>
  <c r="I29" i="7"/>
  <c r="Q28" i="7"/>
  <c r="O28" i="7"/>
  <c r="M28" i="7"/>
  <c r="K28" i="7"/>
  <c r="I28" i="7"/>
  <c r="Q188" i="7"/>
  <c r="O188" i="7"/>
  <c r="M188" i="7"/>
  <c r="K188" i="7"/>
  <c r="I188" i="7"/>
  <c r="Q15" i="7"/>
  <c r="O15" i="7"/>
  <c r="M15" i="7"/>
  <c r="K15" i="7"/>
  <c r="I15" i="7"/>
  <c r="Q190" i="7"/>
  <c r="O190" i="7"/>
  <c r="M190" i="7"/>
  <c r="K190" i="7"/>
  <c r="I190" i="7"/>
  <c r="Q186" i="7"/>
  <c r="O186" i="7"/>
  <c r="M186" i="7"/>
  <c r="K186" i="7"/>
  <c r="I186" i="7"/>
  <c r="Q145" i="7"/>
  <c r="O145" i="7"/>
  <c r="M145" i="7"/>
  <c r="K145" i="7"/>
  <c r="I145" i="7"/>
  <c r="Q189" i="7"/>
  <c r="O189" i="7"/>
  <c r="M189" i="7"/>
  <c r="K189" i="7"/>
  <c r="I189" i="7"/>
  <c r="Q185" i="7"/>
  <c r="O185" i="7"/>
  <c r="M185" i="7"/>
  <c r="K185" i="7"/>
  <c r="I185" i="7"/>
  <c r="Q148" i="7"/>
  <c r="O148" i="7"/>
  <c r="M148" i="7"/>
  <c r="K148" i="7"/>
  <c r="I148" i="7"/>
  <c r="Q38" i="7"/>
  <c r="O38" i="7"/>
  <c r="M38" i="7"/>
  <c r="K38" i="7"/>
  <c r="I38" i="7"/>
  <c r="Q147" i="7"/>
  <c r="O147" i="7"/>
  <c r="M147" i="7"/>
  <c r="K147" i="7"/>
  <c r="I147" i="7"/>
  <c r="Q187" i="7"/>
  <c r="O187" i="7"/>
  <c r="M187" i="7"/>
  <c r="K187" i="7"/>
  <c r="I187" i="7"/>
  <c r="Q20" i="7"/>
  <c r="O20" i="7"/>
  <c r="M20" i="7"/>
  <c r="K20" i="7"/>
  <c r="I20" i="7"/>
  <c r="Q75" i="7"/>
  <c r="O75" i="7"/>
  <c r="M75" i="7"/>
  <c r="K75" i="7"/>
  <c r="I75" i="7"/>
  <c r="Q14" i="7"/>
  <c r="O14" i="7"/>
  <c r="M14" i="7"/>
  <c r="K14" i="7"/>
  <c r="I14" i="7"/>
  <c r="Q146" i="7"/>
  <c r="O146" i="7"/>
  <c r="M146" i="7"/>
  <c r="K146" i="7"/>
  <c r="I146" i="7"/>
  <c r="Q81" i="7"/>
  <c r="O81" i="7"/>
  <c r="M81" i="7"/>
  <c r="K81" i="7"/>
  <c r="I81" i="7"/>
  <c r="Q77" i="7"/>
  <c r="O77" i="7"/>
  <c r="M77" i="7"/>
  <c r="K77" i="7"/>
  <c r="I77" i="7"/>
  <c r="Q80" i="7"/>
  <c r="O80" i="7"/>
  <c r="M80" i="7"/>
  <c r="K80" i="7"/>
  <c r="I80" i="7"/>
  <c r="Q79" i="7"/>
  <c r="O79" i="7"/>
  <c r="M79" i="7"/>
  <c r="K79" i="7"/>
  <c r="I79" i="7"/>
  <c r="Q120" i="7"/>
  <c r="O120" i="7"/>
  <c r="M120" i="7"/>
  <c r="K120" i="7"/>
  <c r="I120" i="7"/>
  <c r="Q116" i="7"/>
  <c r="O116" i="7"/>
  <c r="M116" i="7"/>
  <c r="K116" i="7"/>
  <c r="I116" i="7"/>
  <c r="Q119" i="7"/>
  <c r="O119" i="7"/>
  <c r="M119" i="7"/>
  <c r="K119" i="7"/>
  <c r="I119" i="7"/>
  <c r="Q118" i="7"/>
  <c r="O118" i="7"/>
  <c r="M118" i="7"/>
  <c r="K118" i="7"/>
  <c r="I118" i="7"/>
  <c r="Q30" i="7"/>
  <c r="O30" i="7"/>
  <c r="M30" i="7"/>
  <c r="K30" i="7"/>
  <c r="I30" i="7"/>
  <c r="Q73" i="7"/>
  <c r="O73" i="7"/>
  <c r="M73" i="7"/>
  <c r="K73" i="7"/>
  <c r="I73" i="7"/>
  <c r="Q34" i="7"/>
  <c r="O34" i="7"/>
  <c r="M34" i="7"/>
  <c r="K34" i="7"/>
  <c r="I34" i="7"/>
  <c r="Q54" i="7"/>
  <c r="O54" i="7"/>
  <c r="M54" i="7"/>
  <c r="K54" i="7"/>
  <c r="I54" i="7"/>
  <c r="Q83" i="7"/>
  <c r="O83" i="7"/>
  <c r="M83" i="7"/>
  <c r="K83" i="7"/>
  <c r="I83" i="7"/>
  <c r="Q33" i="7"/>
  <c r="O33" i="7"/>
  <c r="M33" i="7"/>
  <c r="K33" i="7"/>
  <c r="I33" i="7"/>
  <c r="Q32" i="7"/>
  <c r="O32" i="7"/>
  <c r="M32" i="7"/>
  <c r="K32" i="7"/>
  <c r="I32" i="7"/>
  <c r="Q51" i="7"/>
  <c r="O51" i="7"/>
  <c r="M51" i="7"/>
  <c r="K51" i="7"/>
  <c r="I51" i="7"/>
  <c r="Q53" i="7"/>
  <c r="O53" i="7"/>
  <c r="M53" i="7"/>
  <c r="K53" i="7"/>
  <c r="I53" i="7"/>
  <c r="Q74" i="7"/>
  <c r="O74" i="7"/>
  <c r="M74" i="7"/>
  <c r="K74" i="7"/>
  <c r="I74" i="7"/>
  <c r="Q82" i="7"/>
  <c r="O82" i="7"/>
  <c r="M82" i="7"/>
  <c r="K82" i="7"/>
  <c r="I82" i="7"/>
  <c r="Q131" i="7"/>
  <c r="O131" i="7"/>
  <c r="M131" i="7"/>
  <c r="K131" i="7"/>
  <c r="I131" i="7"/>
  <c r="Q130" i="7"/>
  <c r="O130" i="7"/>
  <c r="M130" i="7"/>
  <c r="K130" i="7"/>
  <c r="I130" i="7"/>
  <c r="Q117" i="7"/>
  <c r="O117" i="7"/>
  <c r="M117" i="7"/>
  <c r="K117" i="7"/>
  <c r="I117" i="7"/>
  <c r="Q109" i="7"/>
  <c r="O109" i="7"/>
  <c r="M109" i="7"/>
  <c r="K109" i="7"/>
  <c r="I109" i="7"/>
  <c r="Q107" i="7"/>
  <c r="O107" i="7"/>
  <c r="M107" i="7"/>
  <c r="K107" i="7"/>
  <c r="I107" i="7"/>
  <c r="Q108" i="7"/>
  <c r="O108" i="7"/>
  <c r="M108" i="7"/>
  <c r="K108" i="7"/>
  <c r="I108" i="7"/>
  <c r="Q72" i="7"/>
  <c r="O72" i="7"/>
  <c r="M72" i="7"/>
  <c r="K72" i="7"/>
  <c r="I72" i="7"/>
  <c r="Q155" i="7"/>
  <c r="O155" i="7"/>
  <c r="M155" i="7"/>
  <c r="K155" i="7"/>
  <c r="I155" i="7"/>
  <c r="Q49" i="7"/>
  <c r="O49" i="7"/>
  <c r="M49" i="7"/>
  <c r="K49" i="7"/>
  <c r="I49" i="7"/>
  <c r="Q156" i="7"/>
  <c r="O156" i="7"/>
  <c r="M156" i="7"/>
  <c r="K156" i="7"/>
  <c r="I156" i="7"/>
  <c r="Q129" i="7"/>
  <c r="O129" i="7"/>
  <c r="M129" i="7"/>
  <c r="K129" i="7"/>
  <c r="I129" i="7"/>
  <c r="Q99" i="7"/>
  <c r="O99" i="7"/>
  <c r="M99" i="7"/>
  <c r="K99" i="7"/>
  <c r="I99" i="7"/>
  <c r="Q37" i="7"/>
  <c r="O37" i="7"/>
  <c r="M37" i="7"/>
  <c r="K37" i="7"/>
  <c r="I37" i="7"/>
  <c r="Q25" i="7"/>
  <c r="O25" i="7"/>
  <c r="M25" i="7"/>
  <c r="K25" i="7"/>
  <c r="I25" i="7"/>
  <c r="Q55" i="7"/>
  <c r="O55" i="7"/>
  <c r="M55" i="7"/>
  <c r="K55" i="7"/>
  <c r="I55" i="7"/>
  <c r="Q52" i="7"/>
  <c r="O52" i="7"/>
  <c r="M52" i="7"/>
  <c r="K52" i="7"/>
  <c r="I52" i="7"/>
  <c r="Q22" i="7"/>
  <c r="O22" i="7"/>
  <c r="M22" i="7"/>
  <c r="K22" i="7"/>
  <c r="I22" i="7"/>
  <c r="Q31" i="7"/>
  <c r="O31" i="7"/>
  <c r="M31" i="7"/>
  <c r="K31" i="7"/>
  <c r="I31" i="7"/>
  <c r="Q36" i="7"/>
  <c r="O36" i="7"/>
  <c r="M36" i="7"/>
  <c r="K36" i="7"/>
  <c r="I36" i="7"/>
  <c r="Q161" i="7"/>
  <c r="O161" i="7"/>
  <c r="M161" i="7"/>
  <c r="K161" i="7"/>
  <c r="I161" i="7"/>
  <c r="Q138" i="7"/>
  <c r="O138" i="7"/>
  <c r="M138" i="7"/>
  <c r="K138" i="7"/>
  <c r="I138" i="7"/>
  <c r="Q7" i="7"/>
  <c r="O7" i="7"/>
  <c r="M7" i="7"/>
  <c r="K7" i="7"/>
  <c r="I7" i="7"/>
  <c r="Q175" i="7"/>
  <c r="O175" i="7"/>
  <c r="M175" i="7"/>
  <c r="K175" i="7"/>
  <c r="I175" i="7"/>
  <c r="Q183" i="7"/>
  <c r="O183" i="7"/>
  <c r="M183" i="7"/>
  <c r="K183" i="7"/>
  <c r="I183" i="7"/>
  <c r="Q160" i="7"/>
  <c r="O160" i="7"/>
  <c r="M160" i="7"/>
  <c r="K160" i="7"/>
  <c r="I160" i="7"/>
  <c r="Q159" i="7"/>
  <c r="O159" i="7"/>
  <c r="M159" i="7"/>
  <c r="K159" i="7"/>
  <c r="I159" i="7"/>
  <c r="Q173" i="7"/>
  <c r="O173" i="7"/>
  <c r="M173" i="7"/>
  <c r="K173" i="7"/>
  <c r="I173" i="7"/>
  <c r="Q174" i="7"/>
  <c r="O174" i="7"/>
  <c r="M174" i="7"/>
  <c r="K174" i="7"/>
  <c r="I174" i="7"/>
  <c r="Q163" i="7"/>
  <c r="O163" i="7"/>
  <c r="M163" i="7"/>
  <c r="K163" i="7"/>
  <c r="I163" i="7"/>
  <c r="Q162" i="7"/>
  <c r="O162" i="7"/>
  <c r="M162" i="7"/>
  <c r="K162" i="7"/>
  <c r="I162" i="7"/>
  <c r="Q184" i="7"/>
  <c r="O184" i="7"/>
  <c r="M184" i="7"/>
  <c r="K184" i="7"/>
  <c r="I184" i="7"/>
  <c r="Q110" i="7"/>
  <c r="O110" i="7"/>
  <c r="M110" i="7"/>
  <c r="K110" i="7"/>
  <c r="I110" i="7"/>
  <c r="Q164" i="7"/>
  <c r="O164" i="7"/>
  <c r="M164" i="7"/>
  <c r="K164" i="7"/>
  <c r="I164" i="7"/>
  <c r="Q172" i="7"/>
  <c r="O172" i="7"/>
  <c r="M172" i="7"/>
  <c r="K172" i="7"/>
  <c r="I172" i="7"/>
  <c r="Q198" i="7"/>
  <c r="O198" i="7"/>
  <c r="M198" i="7"/>
  <c r="K198" i="7"/>
  <c r="I198" i="7"/>
  <c r="Q197" i="7"/>
  <c r="O197" i="7"/>
  <c r="M197" i="7"/>
  <c r="K197" i="7"/>
  <c r="I197" i="7"/>
  <c r="Q171" i="7"/>
  <c r="O171" i="7"/>
  <c r="M171" i="7"/>
  <c r="K171" i="7"/>
  <c r="I171" i="7"/>
  <c r="Q114" i="7"/>
  <c r="O114" i="7"/>
  <c r="M114" i="7"/>
  <c r="K114" i="7"/>
  <c r="I114" i="7"/>
  <c r="Q113" i="7"/>
  <c r="O113" i="7"/>
  <c r="M113" i="7"/>
  <c r="K113" i="7"/>
  <c r="I113" i="7"/>
  <c r="Q137" i="7"/>
  <c r="O137" i="7"/>
  <c r="M137" i="7"/>
  <c r="K137" i="7"/>
  <c r="I137" i="7"/>
  <c r="Q136" i="7"/>
  <c r="O136" i="7"/>
  <c r="M136" i="7"/>
  <c r="K136" i="7"/>
  <c r="I136" i="7"/>
  <c r="Q6" i="7"/>
  <c r="O6" i="7"/>
  <c r="M6" i="7"/>
  <c r="K6" i="7"/>
  <c r="I6" i="7"/>
  <c r="Q182" i="7"/>
  <c r="O182" i="7"/>
  <c r="M182" i="7"/>
  <c r="K182" i="7"/>
  <c r="I182" i="7"/>
  <c r="Q135" i="7"/>
  <c r="O135" i="7"/>
  <c r="M135" i="7"/>
  <c r="K135" i="7"/>
  <c r="I135" i="7"/>
  <c r="Q157" i="7"/>
  <c r="O157" i="7"/>
  <c r="M157" i="7"/>
  <c r="K157" i="7"/>
  <c r="I157" i="7"/>
  <c r="Q141" i="7"/>
  <c r="O141" i="7"/>
  <c r="M141" i="7"/>
  <c r="K141" i="7"/>
  <c r="I141" i="7"/>
  <c r="Q140" i="7"/>
  <c r="O140" i="7"/>
  <c r="M140" i="7"/>
  <c r="K140" i="7"/>
  <c r="I140" i="7"/>
  <c r="Q134" i="7"/>
  <c r="O134" i="7"/>
  <c r="M134" i="7"/>
  <c r="K134" i="7"/>
  <c r="I134" i="7"/>
  <c r="Q133" i="7"/>
  <c r="O133" i="7"/>
  <c r="M133" i="7"/>
  <c r="K133" i="7"/>
  <c r="I133" i="7"/>
  <c r="Q115" i="7"/>
  <c r="O115" i="7"/>
  <c r="M115" i="7"/>
  <c r="K115" i="7"/>
  <c r="I115" i="7"/>
  <c r="Q158" i="7"/>
  <c r="O158" i="7"/>
  <c r="M158" i="7"/>
  <c r="K158" i="7"/>
  <c r="I158" i="7"/>
  <c r="Q106" i="7"/>
  <c r="O106" i="7"/>
  <c r="M106" i="7"/>
  <c r="K106" i="7"/>
  <c r="I106" i="7"/>
  <c r="Q105" i="7"/>
  <c r="O105" i="7"/>
  <c r="M105" i="7"/>
  <c r="K105" i="7"/>
  <c r="I105" i="7"/>
  <c r="Q132" i="7"/>
  <c r="O132" i="7"/>
  <c r="M132" i="7"/>
  <c r="K132" i="7"/>
  <c r="I132" i="7"/>
  <c r="Q69" i="7"/>
  <c r="O69" i="7"/>
  <c r="M69" i="7"/>
  <c r="K69" i="7"/>
  <c r="I69" i="7"/>
  <c r="Q70" i="7"/>
  <c r="O70" i="7"/>
  <c r="M70" i="7"/>
  <c r="K70" i="7"/>
  <c r="I70" i="7"/>
  <c r="Q103" i="7"/>
  <c r="O103" i="7"/>
  <c r="M103" i="7"/>
  <c r="K103" i="7"/>
  <c r="I103" i="7"/>
  <c r="Q102" i="7"/>
  <c r="O102" i="7"/>
  <c r="M102" i="7"/>
  <c r="K102" i="7"/>
  <c r="I102" i="7"/>
  <c r="Q101" i="7"/>
  <c r="O101" i="7"/>
  <c r="M101" i="7"/>
  <c r="K101" i="7"/>
  <c r="I101" i="7"/>
  <c r="Q128" i="7"/>
  <c r="O128" i="7"/>
  <c r="M128" i="7"/>
  <c r="K128" i="7"/>
  <c r="I128" i="7"/>
  <c r="Q98" i="7"/>
  <c r="O98" i="7"/>
  <c r="M98" i="7"/>
  <c r="K98" i="7"/>
  <c r="I98" i="7"/>
  <c r="Q97" i="7"/>
  <c r="O97" i="7"/>
  <c r="M97" i="7"/>
  <c r="K97" i="7"/>
  <c r="I97" i="7"/>
  <c r="Q127" i="7"/>
  <c r="O127" i="7"/>
  <c r="M127" i="7"/>
  <c r="K127" i="7"/>
  <c r="I127" i="7"/>
  <c r="Q5" i="7"/>
  <c r="O5" i="7"/>
  <c r="M5" i="7"/>
  <c r="K5" i="7"/>
  <c r="I5" i="7"/>
  <c r="Q104" i="7"/>
  <c r="O104" i="7"/>
  <c r="M104" i="7"/>
  <c r="K104" i="7"/>
  <c r="I104" i="7"/>
  <c r="Q144" i="7"/>
  <c r="O144" i="7"/>
  <c r="M144" i="7"/>
  <c r="K144" i="7"/>
  <c r="I144" i="7"/>
  <c r="Q143" i="7"/>
  <c r="O143" i="7"/>
  <c r="M143" i="7"/>
  <c r="K143" i="7"/>
  <c r="I143" i="7"/>
  <c r="Q142" i="7"/>
  <c r="O142" i="7"/>
  <c r="M142" i="7"/>
  <c r="K142" i="7"/>
  <c r="I142" i="7"/>
  <c r="Q139" i="7"/>
  <c r="O139" i="7"/>
  <c r="M139" i="7"/>
  <c r="K139" i="7"/>
  <c r="I139" i="7"/>
  <c r="Q112" i="7"/>
  <c r="O112" i="7"/>
  <c r="M112" i="7"/>
  <c r="K112" i="7"/>
  <c r="I112" i="7"/>
  <c r="Q111" i="7"/>
  <c r="O111" i="7"/>
  <c r="M111" i="7"/>
  <c r="K111" i="7"/>
  <c r="I111" i="7"/>
  <c r="Q71" i="7"/>
  <c r="O71" i="7"/>
  <c r="M71" i="7"/>
  <c r="K71" i="7"/>
  <c r="I71" i="7"/>
  <c r="Q4" i="7"/>
  <c r="O4" i="7"/>
  <c r="M4" i="7"/>
  <c r="K4" i="7"/>
  <c r="I4" i="7"/>
  <c r="Q100" i="7"/>
  <c r="O100" i="7"/>
  <c r="M100" i="7"/>
  <c r="K100" i="7"/>
  <c r="I100" i="7"/>
  <c r="Q21" i="7"/>
  <c r="O21" i="7"/>
  <c r="M21" i="7"/>
  <c r="K21" i="7"/>
  <c r="I21" i="7"/>
  <c r="Q50" i="7"/>
  <c r="O50" i="7"/>
  <c r="M50" i="7"/>
  <c r="K50" i="7"/>
  <c r="I50" i="7"/>
  <c r="Q48" i="7"/>
  <c r="O48" i="7"/>
  <c r="M48" i="7"/>
  <c r="K48" i="7"/>
  <c r="I48" i="7"/>
  <c r="Q41" i="7"/>
  <c r="O41" i="7"/>
  <c r="M41" i="7"/>
  <c r="K41" i="7"/>
  <c r="I41" i="7"/>
  <c r="Q78" i="7"/>
  <c r="O78" i="7"/>
  <c r="M78" i="7"/>
  <c r="K78" i="7"/>
  <c r="I78" i="7"/>
  <c r="Q96" i="7"/>
  <c r="O96" i="7"/>
  <c r="M96" i="7"/>
  <c r="K96" i="7"/>
  <c r="I96" i="7"/>
  <c r="Q95" i="7"/>
  <c r="O95" i="7"/>
  <c r="M95" i="7"/>
  <c r="K95" i="7"/>
  <c r="I95" i="7"/>
  <c r="Q68" i="7"/>
  <c r="O68" i="7"/>
  <c r="M68" i="7"/>
  <c r="K68" i="7"/>
  <c r="I68" i="7"/>
  <c r="Q67" i="7"/>
  <c r="O67" i="7"/>
  <c r="M67" i="7"/>
  <c r="K67" i="7"/>
  <c r="I67" i="7"/>
  <c r="Q94" i="7"/>
  <c r="O94" i="7"/>
  <c r="M94" i="7"/>
  <c r="K94" i="7"/>
  <c r="I94" i="7"/>
  <c r="Q93" i="7"/>
  <c r="O93" i="7"/>
  <c r="M93" i="7"/>
  <c r="K93" i="7"/>
  <c r="I93" i="7"/>
  <c r="Q92" i="7"/>
  <c r="O92" i="7"/>
  <c r="M92" i="7"/>
  <c r="K92" i="7"/>
  <c r="I92" i="7"/>
  <c r="Q91" i="7"/>
  <c r="O91" i="7"/>
  <c r="M91" i="7"/>
  <c r="K91" i="7"/>
  <c r="I91" i="7"/>
  <c r="Q90" i="7"/>
  <c r="O90" i="7"/>
  <c r="M90" i="7"/>
  <c r="K90" i="7"/>
  <c r="I90" i="7"/>
  <c r="Q66" i="7"/>
  <c r="O66" i="7"/>
  <c r="M66" i="7"/>
  <c r="K66" i="7"/>
  <c r="I66" i="7"/>
  <c r="Q65" i="7"/>
  <c r="O65" i="7"/>
  <c r="M65" i="7"/>
  <c r="K65" i="7"/>
  <c r="I65" i="7"/>
  <c r="Q64" i="7"/>
  <c r="O64" i="7"/>
  <c r="M64" i="7"/>
  <c r="K64" i="7"/>
  <c r="I64" i="7"/>
  <c r="O63" i="7"/>
  <c r="M63" i="7"/>
  <c r="K63" i="7"/>
  <c r="I63" i="7"/>
  <c r="I62" i="7"/>
  <c r="K62" i="7"/>
  <c r="B25" i="6"/>
  <c r="B26" i="6"/>
  <c r="B27" i="6"/>
  <c r="B28" i="6"/>
  <c r="B24" i="6"/>
  <c r="R31" i="6"/>
  <c r="Q31" i="6"/>
  <c r="K3" i="10" l="1"/>
  <c r="K5" i="10" s="1"/>
  <c r="C3" i="10" l="1"/>
  <c r="Q62" i="7" l="1"/>
  <c r="O62" i="7"/>
  <c r="M62" i="7"/>
  <c r="P31" i="6" l="1"/>
  <c r="O31" i="6"/>
  <c r="N31" i="6"/>
  <c r="M31" i="6"/>
  <c r="L31" i="6"/>
  <c r="K31" i="6"/>
  <c r="J31" i="6"/>
  <c r="I31" i="6"/>
  <c r="H31" i="6"/>
  <c r="Q3" i="7"/>
  <c r="O3" i="7"/>
  <c r="M3" i="7"/>
  <c r="K3" i="7"/>
  <c r="B31" i="6" l="1"/>
  <c r="I3" i="7"/>
  <c r="R108" i="7" s="1"/>
  <c r="R12" i="7" l="1"/>
  <c r="R76" i="7"/>
  <c r="R35" i="7"/>
  <c r="R65" i="7"/>
  <c r="R21" i="7"/>
  <c r="R101" i="7"/>
  <c r="R162" i="7"/>
  <c r="R73" i="7"/>
  <c r="R50" i="7"/>
  <c r="R70" i="7"/>
  <c r="R183" i="7"/>
  <c r="R54" i="7"/>
  <c r="R40" i="7"/>
  <c r="R71" i="7"/>
  <c r="R160" i="7"/>
  <c r="R83" i="7"/>
  <c r="R39" i="7"/>
  <c r="R130" i="7"/>
  <c r="R92" i="7"/>
  <c r="R111" i="7"/>
  <c r="R132" i="7"/>
  <c r="R7" i="7"/>
  <c r="R80" i="7"/>
  <c r="R190" i="7"/>
  <c r="R142" i="7"/>
  <c r="R134" i="7"/>
  <c r="R52" i="7"/>
  <c r="R120" i="7"/>
  <c r="R133" i="7"/>
  <c r="R22" i="7"/>
  <c r="R116" i="7"/>
  <c r="R33" i="7"/>
  <c r="R95" i="7"/>
  <c r="R172" i="7"/>
  <c r="R185" i="7"/>
  <c r="R48" i="7"/>
  <c r="R135" i="7"/>
  <c r="R99" i="7"/>
  <c r="R81" i="7"/>
  <c r="R66" i="7"/>
  <c r="R102" i="7"/>
  <c r="R112" i="7"/>
  <c r="R198" i="7"/>
  <c r="R148" i="7"/>
  <c r="R163" i="7"/>
  <c r="R53" i="7"/>
  <c r="R15" i="7"/>
  <c r="R32" i="7"/>
  <c r="R69" i="7"/>
  <c r="R175" i="7"/>
  <c r="R34" i="7"/>
  <c r="R23" i="7"/>
  <c r="R67" i="7"/>
  <c r="R143" i="7"/>
  <c r="R141" i="7"/>
  <c r="R25" i="7"/>
  <c r="R187" i="7"/>
  <c r="R91" i="7"/>
  <c r="R5" i="7"/>
  <c r="R137" i="7"/>
  <c r="R155" i="7"/>
  <c r="R75" i="7"/>
  <c r="R64" i="7"/>
  <c r="R136" i="7"/>
  <c r="R49" i="7"/>
  <c r="R14" i="7"/>
  <c r="R6" i="7"/>
  <c r="R119" i="7"/>
  <c r="R4" i="7"/>
  <c r="R159" i="7"/>
  <c r="R139" i="7"/>
  <c r="R197" i="7"/>
  <c r="R109" i="7"/>
  <c r="R38" i="7"/>
  <c r="R78" i="7"/>
  <c r="R31" i="7"/>
  <c r="R93" i="7"/>
  <c r="R113" i="7"/>
  <c r="R127" i="7"/>
  <c r="R110" i="7"/>
  <c r="R189" i="7"/>
  <c r="R29" i="7"/>
  <c r="R103" i="7"/>
  <c r="R106" i="7"/>
  <c r="R30" i="7"/>
  <c r="R100" i="7"/>
  <c r="R41" i="7"/>
  <c r="R36" i="7"/>
  <c r="R13" i="7"/>
  <c r="R138" i="7"/>
  <c r="R77" i="7"/>
  <c r="R184" i="7"/>
  <c r="R79" i="7"/>
  <c r="R114" i="7"/>
  <c r="R96" i="7"/>
  <c r="R156" i="7"/>
  <c r="R63" i="7"/>
  <c r="R174" i="7"/>
  <c r="R188" i="7"/>
  <c r="R144" i="7"/>
  <c r="R97" i="7"/>
  <c r="R117" i="7"/>
  <c r="R105" i="7"/>
  <c r="R37" i="7"/>
  <c r="R147" i="7"/>
  <c r="R173" i="7"/>
  <c r="R55" i="7"/>
  <c r="R20" i="7"/>
  <c r="R74" i="7"/>
  <c r="R94" i="7"/>
  <c r="R145" i="7"/>
  <c r="R164" i="7"/>
  <c r="R90" i="7"/>
  <c r="R146" i="7"/>
  <c r="R161" i="7"/>
  <c r="R27" i="7"/>
  <c r="R115" i="7"/>
  <c r="R158" i="7"/>
  <c r="R118" i="7"/>
  <c r="R157" i="7"/>
  <c r="R107" i="7"/>
  <c r="R26" i="7"/>
  <c r="R129" i="7"/>
  <c r="R140" i="7"/>
  <c r="R72" i="7"/>
  <c r="R186" i="7"/>
  <c r="R24" i="7"/>
  <c r="R128" i="7"/>
  <c r="R131" i="7"/>
  <c r="R104" i="7"/>
  <c r="R98" i="7"/>
  <c r="R51" i="7"/>
  <c r="R68" i="7"/>
  <c r="R182" i="7"/>
  <c r="R28" i="7"/>
  <c r="R171" i="7"/>
  <c r="R82" i="7"/>
  <c r="R62" i="7"/>
</calcChain>
</file>

<file path=xl/comments1.xml><?xml version="1.0" encoding="utf-8"?>
<comments xmlns="http://schemas.openxmlformats.org/spreadsheetml/2006/main">
  <authors>
    <author>Di Clemente, Carlos</author>
  </authors>
  <commentList>
    <comment ref="C1" authorId="0">
      <text>
        <r>
          <rPr>
            <b/>
            <sz val="11"/>
            <color indexed="81"/>
            <rFont val="Tahoma"/>
            <family val="2"/>
          </rPr>
          <t>- Etapa 1: Ampliaciones de necesidad inmediata.
- Etapa 2: Ampliaciones que deberían iniciarse en no más de 2 años.
- Etapa 3: Ampliaciones posteriores sujetas a estudios adicionales.</t>
        </r>
      </text>
    </comment>
    <comment ref="AE2" authorId="0">
      <text>
        <r>
          <rPr>
            <b/>
            <sz val="11"/>
            <color indexed="81"/>
            <rFont val="Tahoma"/>
            <family val="2"/>
          </rPr>
          <t>Agregar partidos, localidades, parajes, etc...</t>
        </r>
        <r>
          <rPr>
            <sz val="9"/>
            <color indexed="81"/>
            <rFont val="Tahoma"/>
            <family val="2"/>
          </rPr>
          <t xml:space="preserve">
</t>
        </r>
      </text>
    </comment>
    <comment ref="AF2" authorId="0">
      <text>
        <r>
          <rPr>
            <b/>
            <sz val="11"/>
            <color indexed="81"/>
            <rFont val="Tahoma"/>
            <family val="2"/>
          </rPr>
          <t>a). Mantener E/S generación local ineficiente.
b). Demanda existente no abastecida en condiciones N.
c). No radicación de nueva demanda.</t>
        </r>
        <r>
          <rPr>
            <sz val="11"/>
            <color indexed="81"/>
            <rFont val="Tahoma"/>
            <family val="2"/>
          </rPr>
          <t xml:space="preserve">
</t>
        </r>
      </text>
    </comment>
    <comment ref="F5" authorId="0">
      <text>
        <r>
          <rPr>
            <b/>
            <sz val="10"/>
            <color indexed="10"/>
            <rFont val="Tahoma"/>
            <family val="2"/>
          </rPr>
          <t>- Mano de Obra:
USD 10,6 MM
$305,5 MM
- Equipamiento
USD 19 MM</t>
        </r>
        <r>
          <rPr>
            <sz val="9"/>
            <color indexed="81"/>
            <rFont val="Tahoma"/>
            <family val="2"/>
          </rPr>
          <t xml:space="preserve">
</t>
        </r>
      </text>
    </comment>
    <comment ref="C9" authorId="0">
      <text>
        <r>
          <rPr>
            <b/>
            <sz val="11"/>
            <color indexed="81"/>
            <rFont val="Tahoma"/>
            <family val="2"/>
          </rPr>
          <t>- Etapa 1: Ampliaciones de necesidad inmediata.
- Etapa 2: Ampliaciones que deberían iniciarse en no más de 2 años.
- Etapa 3: Ampliaciones posteriores sujetas a estudios adicionales.</t>
        </r>
      </text>
    </comment>
    <comment ref="AE10" authorId="0">
      <text>
        <r>
          <rPr>
            <b/>
            <sz val="11"/>
            <color indexed="81"/>
            <rFont val="Tahoma"/>
            <family val="2"/>
          </rPr>
          <t>Agregar partidos, localidades, parajes, etc...</t>
        </r>
        <r>
          <rPr>
            <sz val="9"/>
            <color indexed="81"/>
            <rFont val="Tahoma"/>
            <family val="2"/>
          </rPr>
          <t xml:space="preserve">
</t>
        </r>
      </text>
    </comment>
    <comment ref="AF10" authorId="0">
      <text>
        <r>
          <rPr>
            <b/>
            <sz val="11"/>
            <color indexed="81"/>
            <rFont val="Tahoma"/>
            <family val="2"/>
          </rPr>
          <t>a). Mantener E/S generación local ineficiente.
b). Demanda existente no abastecida en condiciones N.
c). No radicación de nueva demanda.</t>
        </r>
        <r>
          <rPr>
            <sz val="11"/>
            <color indexed="81"/>
            <rFont val="Tahoma"/>
            <family val="2"/>
          </rPr>
          <t xml:space="preserve">
</t>
        </r>
      </text>
    </comment>
    <comment ref="C17" authorId="0">
      <text>
        <r>
          <rPr>
            <b/>
            <sz val="11"/>
            <color indexed="81"/>
            <rFont val="Tahoma"/>
            <family val="2"/>
          </rPr>
          <t>- Etapa 1: Ampliaciones de necesidad inmediata.
- Etapa 2: Ampliaciones que deberían iniciarse en no más de 2 años.
- Etapa 3: Ampliaciones posteriores sujetas a estudios adicionales.</t>
        </r>
      </text>
    </comment>
    <comment ref="AE18" authorId="0">
      <text>
        <r>
          <rPr>
            <b/>
            <sz val="11"/>
            <color indexed="81"/>
            <rFont val="Tahoma"/>
            <family val="2"/>
          </rPr>
          <t>Agregar partidos, localidades, parajes, etc...</t>
        </r>
        <r>
          <rPr>
            <sz val="9"/>
            <color indexed="81"/>
            <rFont val="Tahoma"/>
            <family val="2"/>
          </rPr>
          <t xml:space="preserve">
</t>
        </r>
      </text>
    </comment>
    <comment ref="AF18" authorId="0">
      <text>
        <r>
          <rPr>
            <b/>
            <sz val="11"/>
            <color indexed="81"/>
            <rFont val="Tahoma"/>
            <family val="2"/>
          </rPr>
          <t>a). Mantener E/S generación local ineficiente.
b). Demanda existente no abastecida en condiciones N.
c). No radicación de nueva demanda.</t>
        </r>
        <r>
          <rPr>
            <sz val="11"/>
            <color indexed="81"/>
            <rFont val="Tahoma"/>
            <family val="2"/>
          </rPr>
          <t xml:space="preserve">
</t>
        </r>
      </text>
    </comment>
    <comment ref="C45" authorId="0">
      <text>
        <r>
          <rPr>
            <b/>
            <sz val="11"/>
            <color indexed="81"/>
            <rFont val="Tahoma"/>
            <family val="2"/>
          </rPr>
          <t>- Etapa 1: Ampliaciones de necesidad inmediata.
- Etapa 2: Ampliaciones que deberían iniciarse en no más de 2 años.
- Etapa 3: Ampliaciones posteriores sujetas a estudios adicionales.</t>
        </r>
      </text>
    </comment>
    <comment ref="AE46" authorId="0">
      <text>
        <r>
          <rPr>
            <b/>
            <sz val="11"/>
            <color indexed="81"/>
            <rFont val="Tahoma"/>
            <family val="2"/>
          </rPr>
          <t>Agregar partidos, localidades, parajes, etc...</t>
        </r>
        <r>
          <rPr>
            <sz val="9"/>
            <color indexed="81"/>
            <rFont val="Tahoma"/>
            <family val="2"/>
          </rPr>
          <t xml:space="preserve">
</t>
        </r>
      </text>
    </comment>
    <comment ref="AF46" authorId="0">
      <text>
        <r>
          <rPr>
            <b/>
            <sz val="11"/>
            <color indexed="81"/>
            <rFont val="Tahoma"/>
            <family val="2"/>
          </rPr>
          <t>a). Mantener E/S generación local ineficiente.
b). Demanda existente no abastecida en condiciones N.
c). No radicación de nueva demanda.</t>
        </r>
        <r>
          <rPr>
            <sz val="11"/>
            <color indexed="81"/>
            <rFont val="Tahoma"/>
            <family val="2"/>
          </rPr>
          <t xml:space="preserve">
</t>
        </r>
      </text>
    </comment>
    <comment ref="U49" authorId="0">
      <text>
        <r>
          <rPr>
            <b/>
            <sz val="9"/>
            <color indexed="81"/>
            <rFont val="Tahoma"/>
            <family val="2"/>
          </rPr>
          <t>Originalmente la fecha E/S era 12/2019</t>
        </r>
      </text>
    </comment>
    <comment ref="C59" authorId="0">
      <text>
        <r>
          <rPr>
            <b/>
            <sz val="11"/>
            <color indexed="81"/>
            <rFont val="Tahoma"/>
            <family val="2"/>
          </rPr>
          <t>- Etapa 1: Ampliaciones de necesidad inmediata.
- Etapa 2: Ampliaciones que deberían iniciarse en no más de 2 años.
- Etapa 3: Ampliaciones posteriores sujetas a estudios adicionales.</t>
        </r>
      </text>
    </comment>
    <comment ref="AE60" authorId="0">
      <text>
        <r>
          <rPr>
            <b/>
            <sz val="11"/>
            <color indexed="81"/>
            <rFont val="Tahoma"/>
            <family val="2"/>
          </rPr>
          <t>Agregar partidos, localidades, parajes, etc...</t>
        </r>
        <r>
          <rPr>
            <sz val="9"/>
            <color indexed="81"/>
            <rFont val="Tahoma"/>
            <family val="2"/>
          </rPr>
          <t xml:space="preserve">
</t>
        </r>
      </text>
    </comment>
    <comment ref="AF60" authorId="0">
      <text>
        <r>
          <rPr>
            <b/>
            <sz val="11"/>
            <color indexed="81"/>
            <rFont val="Tahoma"/>
            <family val="2"/>
          </rPr>
          <t>a). Mantener E/S generación local ineficiente.
b). Demanda existente no abastecida en condiciones N.
c). No radicación de nueva demanda.</t>
        </r>
        <r>
          <rPr>
            <sz val="11"/>
            <color indexed="81"/>
            <rFont val="Tahoma"/>
            <family val="2"/>
          </rPr>
          <t xml:space="preserve">
</t>
        </r>
      </text>
    </comment>
    <comment ref="E64" authorId="0">
      <text>
        <r>
          <rPr>
            <b/>
            <sz val="10"/>
            <color indexed="10"/>
            <rFont val="Tahoma"/>
            <family val="2"/>
          </rPr>
          <t>Agregamos el TR 30/20/30 MVA y campos asociados???</t>
        </r>
        <r>
          <rPr>
            <sz val="9"/>
            <color indexed="81"/>
            <rFont val="Tahoma"/>
            <family val="2"/>
          </rPr>
          <t xml:space="preserve">
</t>
        </r>
      </text>
    </comment>
    <comment ref="E65" authorId="0">
      <text>
        <r>
          <rPr>
            <b/>
            <sz val="10"/>
            <color indexed="10"/>
            <rFont val="Tahoma"/>
            <family val="2"/>
          </rPr>
          <t>Se consideró 2 km de cable subterraneo dentro de la traza total de la línea.</t>
        </r>
        <r>
          <rPr>
            <b/>
            <sz val="9"/>
            <color indexed="81"/>
            <rFont val="Tahoma"/>
            <family val="2"/>
          </rPr>
          <t xml:space="preserve">
</t>
        </r>
      </text>
    </comment>
    <comment ref="E67" authorId="0">
      <text>
        <r>
          <rPr>
            <b/>
            <sz val="10"/>
            <color indexed="10"/>
            <rFont val="Tahoma"/>
            <family val="2"/>
          </rPr>
          <t>Se consideró 1 km de cable subterraneo dentro de la traza total de la línea.</t>
        </r>
      </text>
    </comment>
    <comment ref="E69" authorId="0">
      <text>
        <r>
          <rPr>
            <b/>
            <sz val="10"/>
            <color indexed="10"/>
            <rFont val="Tahoma"/>
            <family val="2"/>
          </rPr>
          <t>Se consideró 2 km de cable subterraneo dentro de la traza total de la línea.</t>
        </r>
      </text>
    </comment>
    <comment ref="E71" authorId="0">
      <text>
        <r>
          <rPr>
            <b/>
            <sz val="10"/>
            <color indexed="10"/>
            <rFont val="Tahoma"/>
            <family val="2"/>
          </rPr>
          <t>Se consideró 2 km de cable subterraneo dentro de la traza total de la línea.</t>
        </r>
      </text>
    </comment>
    <comment ref="C87" authorId="0">
      <text>
        <r>
          <rPr>
            <b/>
            <sz val="11"/>
            <color indexed="81"/>
            <rFont val="Tahoma"/>
            <family val="2"/>
          </rPr>
          <t>- Etapa 1: Ampliaciones de necesidad inmediata.
- Etapa 2: Ampliaciones que deberían iniciarse en no más de 2 años.
- Etapa 3: Ampliaciones posteriores sujetas a estudios adicionales.</t>
        </r>
      </text>
    </comment>
    <comment ref="AE88" authorId="0">
      <text>
        <r>
          <rPr>
            <b/>
            <sz val="11"/>
            <color indexed="81"/>
            <rFont val="Tahoma"/>
            <family val="2"/>
          </rPr>
          <t>Agregar partidos, localidades, parajes, etc...</t>
        </r>
        <r>
          <rPr>
            <sz val="9"/>
            <color indexed="81"/>
            <rFont val="Tahoma"/>
            <family val="2"/>
          </rPr>
          <t xml:space="preserve">
</t>
        </r>
      </text>
    </comment>
    <comment ref="AF88" authorId="0">
      <text>
        <r>
          <rPr>
            <b/>
            <sz val="11"/>
            <color indexed="81"/>
            <rFont val="Tahoma"/>
            <family val="2"/>
          </rPr>
          <t>a). Mantener E/S generación local ineficiente.
b). Demanda existente no abastecida en condiciones N.
c). No radicación de nueva demanda.</t>
        </r>
        <r>
          <rPr>
            <sz val="11"/>
            <color indexed="81"/>
            <rFont val="Tahoma"/>
            <family val="2"/>
          </rPr>
          <t xml:space="preserve">
</t>
        </r>
      </text>
    </comment>
    <comment ref="E92" authorId="0">
      <text>
        <r>
          <rPr>
            <b/>
            <sz val="10"/>
            <color indexed="10"/>
            <rFont val="Tahoma"/>
            <family val="2"/>
          </rPr>
          <t xml:space="preserve">Se consideró 2 km de cable subterraneo dentro de la traza total de la línea.
</t>
        </r>
      </text>
    </comment>
    <comment ref="U99" authorId="0">
      <text>
        <r>
          <rPr>
            <b/>
            <sz val="9"/>
            <color indexed="81"/>
            <rFont val="Tahoma"/>
            <family val="2"/>
          </rPr>
          <t>Originalmente la fecha E/S era 11/2020</t>
        </r>
      </text>
    </comment>
    <comment ref="E102" authorId="0">
      <text>
        <r>
          <rPr>
            <b/>
            <sz val="10"/>
            <color indexed="10"/>
            <rFont val="Tahoma"/>
            <family val="2"/>
          </rPr>
          <t>Se consideró 4 km de cable subterraneo dentro de la traza total de la línea.</t>
        </r>
        <r>
          <rPr>
            <sz val="9"/>
            <color indexed="81"/>
            <rFont val="Tahoma"/>
            <family val="2"/>
          </rPr>
          <t xml:space="preserve">
</t>
        </r>
      </text>
    </comment>
    <comment ref="E103" authorId="0">
      <text>
        <r>
          <rPr>
            <b/>
            <sz val="10"/>
            <color indexed="10"/>
            <rFont val="Tahoma"/>
            <family val="2"/>
          </rPr>
          <t>Se consideró 5 km de cable subterraneo dentro de la traza total de la línea.</t>
        </r>
        <r>
          <rPr>
            <sz val="9"/>
            <color indexed="81"/>
            <rFont val="Tahoma"/>
            <family val="2"/>
          </rPr>
          <t xml:space="preserve">
</t>
        </r>
      </text>
    </comment>
    <comment ref="E106" authorId="0">
      <text>
        <r>
          <rPr>
            <b/>
            <sz val="10"/>
            <color indexed="10"/>
            <rFont val="Tahoma"/>
            <family val="2"/>
          </rPr>
          <t>Se consideró 2 km de cable subterraneo dentro de la traza total de la línea.</t>
        </r>
      </text>
    </comment>
    <comment ref="R108" authorId="0">
      <text>
        <r>
          <rPr>
            <b/>
            <sz val="10"/>
            <color indexed="10"/>
            <rFont val="Tahoma"/>
            <family val="2"/>
          </rPr>
          <t>POR OBRA VINCULADA TIENE IGUAL PUNTAJE QUE LA LAT 132 kV G. BELGRANO-NEWTON</t>
        </r>
        <r>
          <rPr>
            <sz val="9"/>
            <color indexed="81"/>
            <rFont val="Tahoma"/>
            <family val="2"/>
          </rPr>
          <t xml:space="preserve">
</t>
        </r>
      </text>
    </comment>
    <comment ref="R109" authorId="0">
      <text>
        <r>
          <rPr>
            <b/>
            <sz val="10"/>
            <color indexed="10"/>
            <rFont val="Tahoma"/>
            <family val="2"/>
          </rPr>
          <t>POR OBRA VINCULADA TIENE IGUAL PUNTAJE QUE LA LAT 132 kV G. BELGRANO-NEWTON</t>
        </r>
      </text>
    </comment>
    <comment ref="E111" authorId="0">
      <text>
        <r>
          <rPr>
            <b/>
            <sz val="10"/>
            <color indexed="10"/>
            <rFont val="Tahoma"/>
            <family val="2"/>
          </rPr>
          <t>Se consideró 5 km de cable subterraneo dentro de la traza total de la línea.</t>
        </r>
      </text>
    </comment>
    <comment ref="R112" authorId="0">
      <text>
        <r>
          <rPr>
            <b/>
            <sz val="10"/>
            <color indexed="10"/>
            <rFont val="Tahoma"/>
            <family val="2"/>
          </rPr>
          <t>POR OBRA VINCULADA TIENE IGUAL PUNTAJE QUE LA LAT 132 kV S.A. ARECO II-LOS CARDALES</t>
        </r>
        <r>
          <rPr>
            <sz val="10"/>
            <color indexed="10"/>
            <rFont val="Tahoma"/>
            <family val="2"/>
          </rPr>
          <t xml:space="preserve">
</t>
        </r>
      </text>
    </comment>
    <comment ref="C124" authorId="0">
      <text>
        <r>
          <rPr>
            <b/>
            <sz val="11"/>
            <color indexed="81"/>
            <rFont val="Tahoma"/>
            <family val="2"/>
          </rPr>
          <t>- Etapa 1: Ampliaciones de necesidad inmediata.
- Etapa 2: Ampliaciones que deberían iniciarse en no más de 2 años.
- Etapa 3: Ampliaciones posteriores sujetas a estudios adicionales.</t>
        </r>
      </text>
    </comment>
    <comment ref="AE125" authorId="0">
      <text>
        <r>
          <rPr>
            <b/>
            <sz val="11"/>
            <color indexed="81"/>
            <rFont val="Tahoma"/>
            <family val="2"/>
          </rPr>
          <t>Agregar partidos, localidades, parajes, etc...</t>
        </r>
        <r>
          <rPr>
            <sz val="9"/>
            <color indexed="81"/>
            <rFont val="Tahoma"/>
            <family val="2"/>
          </rPr>
          <t xml:space="preserve">
</t>
        </r>
      </text>
    </comment>
    <comment ref="AF125" authorId="0">
      <text>
        <r>
          <rPr>
            <b/>
            <sz val="11"/>
            <color indexed="81"/>
            <rFont val="Tahoma"/>
            <family val="2"/>
          </rPr>
          <t>a). Mantener E/S generación local ineficiente.
b). Demanda existente no abastecida en condiciones N.
c). No radicación de nueva demanda.</t>
        </r>
        <r>
          <rPr>
            <sz val="11"/>
            <color indexed="81"/>
            <rFont val="Tahoma"/>
            <family val="2"/>
          </rPr>
          <t xml:space="preserve">
</t>
        </r>
      </text>
    </comment>
    <comment ref="U129" authorId="0">
      <text>
        <r>
          <rPr>
            <b/>
            <sz val="9"/>
            <color indexed="81"/>
            <rFont val="Tahoma"/>
            <family val="2"/>
          </rPr>
          <t>Originalmente la fecha E/S era 12/2021</t>
        </r>
      </text>
    </comment>
    <comment ref="E136" authorId="0">
      <text>
        <r>
          <rPr>
            <b/>
            <sz val="10"/>
            <color indexed="10"/>
            <rFont val="Tahoma"/>
            <family val="2"/>
          </rPr>
          <t>Se consideró 2 km de cable subterraneo dentro de la traza total de la línea.</t>
        </r>
        <r>
          <rPr>
            <sz val="9"/>
            <color indexed="81"/>
            <rFont val="Tahoma"/>
            <family val="2"/>
          </rPr>
          <t xml:space="preserve">
</t>
        </r>
      </text>
    </comment>
    <comment ref="E137" authorId="0">
      <text>
        <r>
          <rPr>
            <b/>
            <sz val="10"/>
            <color indexed="10"/>
            <rFont val="Tahoma"/>
            <family val="2"/>
          </rPr>
          <t>Se consideró 3 km de cable subterraneo dentro de la traza total de la línea.</t>
        </r>
      </text>
    </comment>
    <comment ref="E139" authorId="0">
      <text>
        <r>
          <rPr>
            <b/>
            <sz val="10"/>
            <color indexed="10"/>
            <rFont val="Tahoma"/>
            <family val="2"/>
          </rPr>
          <t>Se consideró 4 km de cable subterraneo dentro de la traza total de la línea.</t>
        </r>
      </text>
    </comment>
    <comment ref="E143" authorId="0">
      <text>
        <r>
          <rPr>
            <b/>
            <sz val="10"/>
            <color indexed="10"/>
            <rFont val="Tahoma"/>
            <family val="2"/>
          </rPr>
          <t>Se consideró 5,5 km de cable subterraneo dentro de la traza total de la línea.</t>
        </r>
      </text>
    </comment>
    <comment ref="E144" authorId="0">
      <text>
        <r>
          <rPr>
            <b/>
            <sz val="10"/>
            <color indexed="10"/>
            <rFont val="Tahoma"/>
            <family val="2"/>
          </rPr>
          <t>Se consideró 4 km de cable subterraneo dentro de la traza total de la línea.</t>
        </r>
      </text>
    </comment>
    <comment ref="C152" authorId="0">
      <text>
        <r>
          <rPr>
            <b/>
            <sz val="11"/>
            <color indexed="81"/>
            <rFont val="Tahoma"/>
            <family val="2"/>
          </rPr>
          <t>- Etapa 1: Ampliaciones de necesidad inmediata.
- Etapa 2: Ampliaciones que deberían iniciarse en no más de 2 años.
- Etapa 3: Ampliaciones posteriores sujetas a estudios adicionales.</t>
        </r>
      </text>
    </comment>
    <comment ref="AE153" authorId="0">
      <text>
        <r>
          <rPr>
            <b/>
            <sz val="11"/>
            <color indexed="81"/>
            <rFont val="Tahoma"/>
            <family val="2"/>
          </rPr>
          <t>Agregar partidos, localidades, parajes, etc...</t>
        </r>
        <r>
          <rPr>
            <sz val="9"/>
            <color indexed="81"/>
            <rFont val="Tahoma"/>
            <family val="2"/>
          </rPr>
          <t xml:space="preserve">
</t>
        </r>
      </text>
    </comment>
    <comment ref="AF153" authorId="0">
      <text>
        <r>
          <rPr>
            <b/>
            <sz val="11"/>
            <color indexed="81"/>
            <rFont val="Tahoma"/>
            <family val="2"/>
          </rPr>
          <t>a). Mantener E/S generación local ineficiente.
b). Demanda existente no abastecida en condiciones N.
c). No radicación de nueva demanda.</t>
        </r>
        <r>
          <rPr>
            <sz val="11"/>
            <color indexed="81"/>
            <rFont val="Tahoma"/>
            <family val="2"/>
          </rPr>
          <t xml:space="preserve">
</t>
        </r>
      </text>
    </comment>
    <comment ref="U156" authorId="0">
      <text>
        <r>
          <rPr>
            <b/>
            <sz val="9"/>
            <color indexed="81"/>
            <rFont val="Tahoma"/>
            <family val="2"/>
          </rPr>
          <t>Originalmente la fecha E/S era 12/2020</t>
        </r>
      </text>
    </comment>
    <comment ref="E158" authorId="0">
      <text>
        <r>
          <rPr>
            <b/>
            <sz val="10"/>
            <color indexed="10"/>
            <rFont val="Tahoma"/>
            <family val="2"/>
          </rPr>
          <t>Al menos 5 km de la traza de la línea serán subterraneos</t>
        </r>
      </text>
    </comment>
    <comment ref="C168" authorId="0">
      <text>
        <r>
          <rPr>
            <b/>
            <sz val="11"/>
            <color indexed="81"/>
            <rFont val="Tahoma"/>
            <family val="2"/>
          </rPr>
          <t>- Etapa 1: Ampliaciones de necesidad inmediata.
- Etapa 2: Ampliaciones que deberían iniciarse en no más de 2 años.
- Etapa 3: Ampliaciones posteriores sujetas a estudios adicionales.</t>
        </r>
      </text>
    </comment>
    <comment ref="AE169" authorId="0">
      <text>
        <r>
          <rPr>
            <b/>
            <sz val="11"/>
            <color indexed="81"/>
            <rFont val="Tahoma"/>
            <family val="2"/>
          </rPr>
          <t>Agregar partidos, localidades, parajes, etc...</t>
        </r>
        <r>
          <rPr>
            <sz val="9"/>
            <color indexed="81"/>
            <rFont val="Tahoma"/>
            <family val="2"/>
          </rPr>
          <t xml:space="preserve">
</t>
        </r>
      </text>
    </comment>
    <comment ref="AF169" authorId="0">
      <text>
        <r>
          <rPr>
            <b/>
            <sz val="11"/>
            <color indexed="81"/>
            <rFont val="Tahoma"/>
            <family val="2"/>
          </rPr>
          <t>a). Mantener E/S generación local ineficiente.
b). Demanda existente no abastecida en condiciones N.
c). No radicación de nueva demanda.</t>
        </r>
        <r>
          <rPr>
            <sz val="11"/>
            <color indexed="81"/>
            <rFont val="Tahoma"/>
            <family val="2"/>
          </rPr>
          <t xml:space="preserve">
</t>
        </r>
      </text>
    </comment>
    <comment ref="C179" authorId="0">
      <text>
        <r>
          <rPr>
            <b/>
            <sz val="11"/>
            <color indexed="81"/>
            <rFont val="Tahoma"/>
            <family val="2"/>
          </rPr>
          <t>- Etapa 1: Ampliaciones de necesidad inmediata.
- Etapa 2: Ampliaciones que deberían iniciarse en no más de 2 años.
- Etapa 3: Ampliaciones posteriores sujetas a estudios adicionales.</t>
        </r>
      </text>
    </comment>
    <comment ref="AE180" authorId="0">
      <text>
        <r>
          <rPr>
            <b/>
            <sz val="11"/>
            <color indexed="81"/>
            <rFont val="Tahoma"/>
            <family val="2"/>
          </rPr>
          <t>Agregar partidos, localidades, parajes, etc...</t>
        </r>
        <r>
          <rPr>
            <sz val="9"/>
            <color indexed="81"/>
            <rFont val="Tahoma"/>
            <family val="2"/>
          </rPr>
          <t xml:space="preserve">
</t>
        </r>
      </text>
    </comment>
    <comment ref="AF180" authorId="0">
      <text>
        <r>
          <rPr>
            <b/>
            <sz val="11"/>
            <color indexed="81"/>
            <rFont val="Tahoma"/>
            <family val="2"/>
          </rPr>
          <t>a). Mantener E/S generación local ineficiente.
b). Demanda existente no abastecida en condiciones N.
c). No radicación de nueva demanda.</t>
        </r>
        <r>
          <rPr>
            <sz val="11"/>
            <color indexed="81"/>
            <rFont val="Tahoma"/>
            <family val="2"/>
          </rPr>
          <t xml:space="preserve">
</t>
        </r>
      </text>
    </comment>
    <comment ref="C194" authorId="0">
      <text>
        <r>
          <rPr>
            <b/>
            <sz val="11"/>
            <color indexed="81"/>
            <rFont val="Tahoma"/>
            <family val="2"/>
          </rPr>
          <t>- Etapa 1: Ampliaciones de necesidad inmediata.
- Etapa 2: Ampliaciones que deberían iniciarse en no más de 2 años.
- Etapa 3: Ampliaciones posteriores sujetas a estudios adicionales.</t>
        </r>
      </text>
    </comment>
    <comment ref="AE195" authorId="0">
      <text>
        <r>
          <rPr>
            <b/>
            <sz val="11"/>
            <color indexed="81"/>
            <rFont val="Tahoma"/>
            <family val="2"/>
          </rPr>
          <t>Agregar partidos, localidades, parajes, etc...</t>
        </r>
        <r>
          <rPr>
            <sz val="9"/>
            <color indexed="81"/>
            <rFont val="Tahoma"/>
            <family val="2"/>
          </rPr>
          <t xml:space="preserve">
</t>
        </r>
      </text>
    </comment>
    <comment ref="AF195" authorId="0">
      <text>
        <r>
          <rPr>
            <b/>
            <sz val="11"/>
            <color indexed="81"/>
            <rFont val="Tahoma"/>
            <family val="2"/>
          </rPr>
          <t>a). Mantener E/S generación local ineficiente.
b). Demanda existente no abastecida en condiciones N.
c). No radicación de nueva demanda.</t>
        </r>
        <r>
          <rPr>
            <sz val="11"/>
            <color indexed="81"/>
            <rFont val="Tahoma"/>
            <family val="2"/>
          </rPr>
          <t xml:space="preserve">
</t>
        </r>
      </text>
    </comment>
  </commentList>
</comments>
</file>

<file path=xl/sharedStrings.xml><?xml version="1.0" encoding="utf-8"?>
<sst xmlns="http://schemas.openxmlformats.org/spreadsheetml/2006/main" count="3421" uniqueCount="706">
  <si>
    <t>Denominación de la obra</t>
  </si>
  <si>
    <t>Breve descripción de la obra</t>
  </si>
  <si>
    <t>Declaración de financiabilidad</t>
  </si>
  <si>
    <t>Estudio de Impacto ambiental</t>
  </si>
  <si>
    <t>Estudios Eléctricos</t>
  </si>
  <si>
    <t>Estado de trazas (Sólo para LLAATT)</t>
  </si>
  <si>
    <t>Estado de predios (Sólo para EETT)</t>
  </si>
  <si>
    <t>En trámite ante PBA</t>
  </si>
  <si>
    <t>Trámite no iniciado</t>
  </si>
  <si>
    <t>Ejecutados y válidos</t>
  </si>
  <si>
    <t>Ejecutados y a actualizar</t>
  </si>
  <si>
    <t>En ejecución</t>
  </si>
  <si>
    <t>Pendiente</t>
  </si>
  <si>
    <t>Definida</t>
  </si>
  <si>
    <t xml:space="preserve">Con servidumbre </t>
  </si>
  <si>
    <t>Definido</t>
  </si>
  <si>
    <t>Adquirido</t>
  </si>
  <si>
    <t>A definir</t>
  </si>
  <si>
    <t>Pliegos</t>
  </si>
  <si>
    <t>Disponible</t>
  </si>
  <si>
    <t>Solicitud de acceso</t>
  </si>
  <si>
    <t>En trámite</t>
  </si>
  <si>
    <t>Ingeniería de detalle</t>
  </si>
  <si>
    <t>Población Beneficiada</t>
  </si>
  <si>
    <t>Consecuencia de no realización</t>
  </si>
  <si>
    <t>Distribuidores que la impulsan</t>
  </si>
  <si>
    <t>Estado</t>
  </si>
  <si>
    <t>No aplica</t>
  </si>
  <si>
    <t>Costo estimado sin impuestos [$]</t>
  </si>
  <si>
    <t xml:space="preserve">                                                                                                                               Estado de documentación</t>
  </si>
  <si>
    <t>s/TRANSBA</t>
  </si>
  <si>
    <t>Obras vinculadas</t>
  </si>
  <si>
    <t>Clasificación s/TRANSBA</t>
  </si>
  <si>
    <t xml:space="preserve"> </t>
  </si>
  <si>
    <t>Criterios para priorización de obras</t>
  </si>
  <si>
    <t>Objetivo:</t>
  </si>
  <si>
    <t>El presente cuestionario es establecer los pesos de los criterios que se utilizarán en la metodología de análisis de utilidades multiatributo  (MAUA) que facilitarán la priorización de las Obras de AT y ST</t>
  </si>
  <si>
    <t>Paso 1: Definición de criterios a utilizar en la priorización</t>
  </si>
  <si>
    <t>Criterios:</t>
  </si>
  <si>
    <t>a</t>
  </si>
  <si>
    <t>Cantidad de habitantes beneficiados</t>
  </si>
  <si>
    <t>SI</t>
  </si>
  <si>
    <t>b</t>
  </si>
  <si>
    <t>Eliminar restricciones en condiciones "N" del sistema</t>
  </si>
  <si>
    <t>c</t>
  </si>
  <si>
    <t xml:space="preserve">Permitir atención de demanda retenida </t>
  </si>
  <si>
    <t>d</t>
  </si>
  <si>
    <t>Eliminar o reducir la generación distribuida ineficiente</t>
  </si>
  <si>
    <t>e</t>
  </si>
  <si>
    <t>NO</t>
  </si>
  <si>
    <t>Eliminar restricciones en condiciones "N-1" del sistema</t>
  </si>
  <si>
    <t>f</t>
  </si>
  <si>
    <t>Mejora calidad de producto de la zona.</t>
  </si>
  <si>
    <t>Paso 2: Definición de la importancia del criterio</t>
  </si>
  <si>
    <t>Favor asigne una calificación del 1 al 100 a cada criterio según su importancia para la priorización de</t>
  </si>
  <si>
    <r>
      <t xml:space="preserve">proyectos, de tal forma que la </t>
    </r>
    <r>
      <rPr>
        <b/>
        <sz val="12"/>
        <rFont val="Verdana"/>
        <family val="2"/>
      </rPr>
      <t>sumatoria</t>
    </r>
    <r>
      <rPr>
        <sz val="12"/>
        <rFont val="Verdana"/>
        <family val="2"/>
      </rPr>
      <t xml:space="preserve"> de las 6 calificaciones sea </t>
    </r>
    <r>
      <rPr>
        <b/>
        <sz val="12"/>
        <rFont val="Verdana"/>
        <family val="2"/>
      </rPr>
      <t>100</t>
    </r>
  </si>
  <si>
    <t>Encuesta</t>
  </si>
  <si>
    <t>Criterio</t>
  </si>
  <si>
    <t>Superficie servida</t>
  </si>
  <si>
    <t>g</t>
  </si>
  <si>
    <t>Total</t>
  </si>
  <si>
    <t>Paso 3: Definición de la probabilidad de ocurrencia que la obra maximice o minimice un determinado criterio</t>
  </si>
  <si>
    <t>Esto se hace para cada una de las obras, debiéndose considerar un valor entre 0 y 1.</t>
  </si>
  <si>
    <r>
      <t>Superficie servida km</t>
    </r>
    <r>
      <rPr>
        <vertAlign val="superscript"/>
        <sz val="12"/>
        <rFont val="Verdana"/>
        <family val="2"/>
      </rPr>
      <t>2</t>
    </r>
  </si>
  <si>
    <t>CRITERIOS</t>
  </si>
  <si>
    <t>W Criterio "a"</t>
  </si>
  <si>
    <t>W Criterio "b"</t>
  </si>
  <si>
    <t>W Criterio "c"</t>
  </si>
  <si>
    <t>W Criterio "d"</t>
  </si>
  <si>
    <t>W Criterio "e"</t>
  </si>
  <si>
    <t>CALIFICACIÓN/PUNTAJE</t>
  </si>
  <si>
    <t>EIA</t>
  </si>
  <si>
    <t>C.C. y N.P.</t>
  </si>
  <si>
    <t>Otorgada por Res. Ministerial</t>
  </si>
  <si>
    <t>Probabilidad de ocurrencia (P)</t>
  </si>
  <si>
    <t>Ponderación (W)</t>
  </si>
  <si>
    <t>0 ≤ X ≤ 50.000 hab.</t>
  </si>
  <si>
    <t>50.000 ≤ X ≤ 75.000 hab.</t>
  </si>
  <si>
    <t>75.000 ≤ X ≤ 100.000 hab.</t>
  </si>
  <si>
    <t>X ≥ 100.000 hab.</t>
  </si>
  <si>
    <t>0 ≤ X ≤ 1.500 km2</t>
  </si>
  <si>
    <t>1.500 ≤ X ≤ 3.000 km2</t>
  </si>
  <si>
    <t>3.000 ≤ X ≤ 5.000 km2</t>
  </si>
  <si>
    <t>X ≥ 5.000 km2</t>
  </si>
  <si>
    <t>0 MW</t>
  </si>
  <si>
    <t>0 ≤ X ≤ 5 MW</t>
  </si>
  <si>
    <t>5 ≤ X ≤ 10 MW</t>
  </si>
  <si>
    <t>10 ≤ X ≤ 20 MW</t>
  </si>
  <si>
    <t>X ≥ 20 MW</t>
  </si>
  <si>
    <t>Impacto obra</t>
  </si>
  <si>
    <t>Descripción</t>
  </si>
  <si>
    <t>Monto de referencia estimado [USD]</t>
  </si>
  <si>
    <t>ET doble barra con 2 Transformadores y sus campos correspondientes</t>
  </si>
  <si>
    <t>ET doble barra con 1 Transformador y sus campos correspondientes</t>
  </si>
  <si>
    <t>Precio Transformador 30/30/30 MVA - 132/33/13,2 kV</t>
  </si>
  <si>
    <t>LAT 132 kV simple terna rural x km</t>
  </si>
  <si>
    <t>LAT 132 kV doble terna rural x km</t>
  </si>
  <si>
    <t>LAT 132 kV simple terna urbana x km</t>
  </si>
  <si>
    <t>Etapa 1</t>
  </si>
  <si>
    <t>Etapa 2</t>
  </si>
  <si>
    <t>Etapa 3</t>
  </si>
  <si>
    <r>
      <t>Cable subterraneo de 1200 mm</t>
    </r>
    <r>
      <rPr>
        <vertAlign val="superscript"/>
        <sz val="11"/>
        <color theme="1"/>
        <rFont val="Calibri"/>
        <family val="2"/>
        <scheme val="minor"/>
      </rPr>
      <t>2</t>
    </r>
    <r>
      <rPr>
        <sz val="11"/>
        <color theme="1"/>
        <rFont val="Calibri"/>
        <family val="2"/>
        <scheme val="minor"/>
      </rPr>
      <t xml:space="preserve"> Aluminio (zona semiurbana) x km (*)</t>
    </r>
  </si>
  <si>
    <t xml:space="preserve">(*) Para tramos de 5 km de longitud. En caso de construirse tramos de cable de </t>
  </si>
  <si>
    <t>menor longitud, el costo por km sería mayor.</t>
  </si>
  <si>
    <t>Cantidad de habitantes</t>
  </si>
  <si>
    <r>
      <t>Sup. Servida en km</t>
    </r>
    <r>
      <rPr>
        <b/>
        <vertAlign val="superscript"/>
        <sz val="11"/>
        <color theme="1"/>
        <rFont val="Calibri"/>
        <family val="2"/>
        <scheme val="minor"/>
      </rPr>
      <t>2</t>
    </r>
  </si>
  <si>
    <t>Elimina restric. N</t>
  </si>
  <si>
    <t>Elimina generacion ineficiente</t>
  </si>
  <si>
    <t>Elimina restric.
 N-1</t>
  </si>
  <si>
    <t>Corredor Cierre Anillo Norte 132 kV: Ampliación ET Villa Lía 220/132 kV</t>
  </si>
  <si>
    <t>ET Villa Lía: Construcción de doble juego de barras de 132 kV, acoplamiento de barras y Nuevo Edificio de Comando.</t>
  </si>
  <si>
    <t>Nueva ET S.A. de Areco II 132 kV, simple barra con lugar para doble juego y tres campos de salida de línea en 132 kV. Dicha ET se vinculará al Sistema de Transporte mediante el seccionamiento de la LAT V. Lía - S.A. de Areco aproximadamente a 2.4 km de la ET S.A. de Areco.</t>
  </si>
  <si>
    <t>Corredor Cierre Anillo Norte 132 kV: Nueva ET Capitán Sarmiento 132/33/13,2 kV</t>
  </si>
  <si>
    <t xml:space="preserve">Nueva ET Capitán Sarmiento de 1x30/20/30 MVA - 132/33/13.2 kV y obras de 13,2 y 33 kV asociadas, más la construcción de dos campos de salida de línea 132 kV para su vinculación al Sistema de Transporte por Distribución Troncal </t>
  </si>
  <si>
    <t>Corredor Cierre Anillo Norte 132 kV: Nueva LAT 132 kV S.A. de Areco II - C. Sarmiento</t>
  </si>
  <si>
    <t xml:space="preserve">Nueva LAT 132 kV Capitán Sarmiento - Nueva ET S.A. de Areco de aproximadamente unos 32 km de longitud </t>
  </si>
  <si>
    <t>Corredor Cierre Anillo Norte 132 kV: Nueva ET Arrecifes 132/33/13,2 kV</t>
  </si>
  <si>
    <t xml:space="preserve">Corredor Cierre Anillo Norte 132 kV: Nueva LAT 132 kV C. Sarmiento - Arrecifes </t>
  </si>
  <si>
    <t>Nueva LAT 132 kV Capitán Sarmiento - Arrecifes de aproximadamente unos 34 km de longitud</t>
  </si>
  <si>
    <t>Corredor Cierre Anillo Norte 132 kV: Ampliación ET Salto 132 kV</t>
  </si>
  <si>
    <t>La obra contempla la construcción de un nuevo campo de salida de línea en 132 kV para la vinculación de la ET Salto con la futura ET Arrecifes</t>
  </si>
  <si>
    <t xml:space="preserve">Corredor Cierre Anillo Norte 132 kV: Nueva LAT 132 kV Arrecifes - Salto </t>
  </si>
  <si>
    <t>Nueva LAT 132 kV Arrecifes - Salto de aproximadamente unos 31 km de longitud</t>
  </si>
  <si>
    <t>Nueva ET San Nicolás "Norte" 132/33/13,2 kV y vinculación en 132 kV</t>
  </si>
  <si>
    <t>Nueva LAT 132 kV 25 de Mayo - Bragado</t>
  </si>
  <si>
    <t>Nueva LAT 132 kV 25 de Mayo - Bragado de aproximadamente unos 57 km de longitud, más campo de salida de línea en 132 kV en ET 25 de Mayo y adecuación en ET Bragado</t>
  </si>
  <si>
    <t>Nueva ET 9 de Julio 132/33/13,2 kV</t>
  </si>
  <si>
    <t xml:space="preserve">Nueva ET 9 de Julio de 2x30/20/30 MVA - 132/33/13.2 kV más campos de salida de línea en 132 kV </t>
  </si>
  <si>
    <t xml:space="preserve">Nueva LAT 132 kV 9 de Julio - Bragado </t>
  </si>
  <si>
    <t>Nueva LAT 132 kV 9 de Julio - Bragado de aproximadamente unos 71 km de longitud, más campo de salida de línea en 132 kV en ET Bragado</t>
  </si>
  <si>
    <t>Nueva ET Lobos 132/33/13,2 kV</t>
  </si>
  <si>
    <t xml:space="preserve">Nueva ET Lobos de 2x30/20/30 MVA - 132/33/13.2 kV y obras de 13,2 y 33 kV asociadas, más la construcción de un campo de salida de línea 132 kV para su vinculación al Sistema de Transporte por Distribución Troncal. </t>
  </si>
  <si>
    <t xml:space="preserve">Nueva LAT 132 kV 25 de Mayo - Lobos </t>
  </si>
  <si>
    <t>Nueva LAT 132 kV 25 de Mayo - Lobos de aproximadamente unos 101 km de longitud, más campo de salida de línea en 132 kV en ET 25 de Mayo.</t>
  </si>
  <si>
    <t>Ampliación ET Colón 132/33/13,2 kV</t>
  </si>
  <si>
    <t>ET Colón: Ampliación a la capacidad de transformación mediante la instalación de un 2° transformador de 30/20/30 MVA - 132/33/13.2 kV, con sus correspondientes campos de transformación en los niveles de 132, 33 y 13,2 kV y segunda barra en los tres niveles de tensión.</t>
  </si>
  <si>
    <t>Ampliación ET Monte 132/33/13,2 kV</t>
  </si>
  <si>
    <t>Ampliación ET Henderson 132/33/13,2 kV - Etapa I</t>
  </si>
  <si>
    <t>Ampliación ET IMSA 132/33/13,2 kV</t>
  </si>
  <si>
    <t>Ampliación ET Lincoln 132/33/13,2 kV</t>
  </si>
  <si>
    <t>Ampliación ET Bragado 132/33/13,2 kV</t>
  </si>
  <si>
    <t xml:space="preserve">Ampliación ET Nueva Campana 500/132 kV </t>
  </si>
  <si>
    <t>Nueva LAT 132 kV Villa Lía - Baradero</t>
  </si>
  <si>
    <t>Nueva ET Los Cardales 132/33/13,2 kV</t>
  </si>
  <si>
    <t>Nueva LAT 132 kV S.A. de Areco II - Los Cardales</t>
  </si>
  <si>
    <t>Nueva LAT 132 kV Luján II-Los Cardales</t>
  </si>
  <si>
    <t>Nueva LAT 132 kV Luján II - Los Cardales de aproximadamente 27 km de longitud, más campo de salida de línea en 132 kV en ET Luján II.</t>
  </si>
  <si>
    <t>Nueva ET Campana Puerto 132/33/13,2 kV</t>
  </si>
  <si>
    <t xml:space="preserve">Nueva ET Puerto Campana de 1x45/45/45 MVA - 132/33/13.2 kV más campos de salida de línea en 132 kV para vincularla al Sistema de Transporte por Distribución Troncal. </t>
  </si>
  <si>
    <t xml:space="preserve">Nueva LAT 132 kV Nueva Campana - Nueva ET  Campana Puerto </t>
  </si>
  <si>
    <t>Nueva LAT 132 kV Campana Puerto -Campana III</t>
  </si>
  <si>
    <t>Ampliación ET Villa Lía 220/132 kV</t>
  </si>
  <si>
    <t>ET Villa Lía: Ampliación a la capacidad de transformación mediante la instalación de un 2° transformador de 150 MVA - 220/132 kV</t>
  </si>
  <si>
    <t>Nueva ET Junín 500/132 kV</t>
  </si>
  <si>
    <t>Nueva ET Junín 500/132 kV de 2x300 MVA y 3 salidas de línea en 132 kV para su vinculación con el sistema de transporte por distribución troncal de la provincia de Bs. As.</t>
  </si>
  <si>
    <t>Nueva ET Junín Sur 132/33/13,2 kV y vinculaciones 132 kV</t>
  </si>
  <si>
    <t xml:space="preserve">Nueva ET Junín Sur de 1x30/20/30 MVA - 132/33/13.2 kV y obras de 13,2 y 33 kV asociadas, más la construcción de un campo de salida de línea 132 kV para su vinculación al Sistema de Transporte por Distribución Troncal </t>
  </si>
  <si>
    <t>Nueva LAT 132 kV Junín 500 - Junín Sur</t>
  </si>
  <si>
    <t>Nueva LAT 132 kV Chacabuco Industrial - Junín Sur</t>
  </si>
  <si>
    <t xml:space="preserve">Seccionamiento de la línea de 132 kV Junín - Rojas </t>
  </si>
  <si>
    <t>Seccionamiento de la línea de 132 kV Junín - Rojas y vinculación de la misma a barras de 132 kV de la nueva ET Junín 500/132 kV mediante la construcción de un tramo de LAT 132 kV en doble terna de 3 km.</t>
  </si>
  <si>
    <t>Nueva ET Chivilcoy II 132/33/13,2 kV y vinculaciones en 132 kV</t>
  </si>
  <si>
    <t xml:space="preserve">Nueva ET Chivilcoy II de 1x30/20/30 MVA - 132/33/13.2 kV y obras de 13,2 y 33 kV asociadas, más la construcción de un campo de salida de línea 132 kV para su vinculación al Sistema de Transporte por Distribución Troncal </t>
  </si>
  <si>
    <t>Nueva LAT 132 kV Chivilcoy - Chivilcoy II</t>
  </si>
  <si>
    <t>Nueva LAT 132 kV Chivilcoy II - Chacabuco</t>
  </si>
  <si>
    <t>Nueva ET Mercedes II 132/33/13,2 kV y vinculaciones en 132 kV</t>
  </si>
  <si>
    <t xml:space="preserve">Nueva ET Mercedes II de 1x30/20/30 MVA - 132/33/13.2 kV y obras de 13,2 y 33 kV asociadas, más la construcción de un campo de salida de línea 132 kV para su vinculación al Sistema de Transporte por Distribución Troncal </t>
  </si>
  <si>
    <t>Nueva LAT 132 kV Mercedes - Mercedes II</t>
  </si>
  <si>
    <t>Nueva ET S.A. de Giles 132/33/13,2 kV</t>
  </si>
  <si>
    <t xml:space="preserve">Nueva ET S.A. de Giles de 1x30/20/30 MVA - 132/33/13.2 kV y obras de 13,2 y 33 kV asociadas, más la construcción de un campo de salida de línea 132 kV para su vinculación al Sistema de Transporte por Distribución Troncal </t>
  </si>
  <si>
    <t xml:space="preserve">Nueva LAT 132 kV S.A. de Areco - S.A. de Giles </t>
  </si>
  <si>
    <t>Nueva LAT 132 kV Mercedes II - S.A. de Giles</t>
  </si>
  <si>
    <t>Nueva LAT 132 kV Monte - Lobos</t>
  </si>
  <si>
    <t>Nueva LAT 132 kV Monte - Lobos de aproximadamente unos 48 km de longitud, más campo de salida de línea en 132 kV en ET Monte.</t>
  </si>
  <si>
    <t>Ampliación ET Ramallo Industrial 132/33/13,2 kV - Etapa I</t>
  </si>
  <si>
    <t>Ampliación a la capacidad de transformación mediante la instalación de un segundo transformador de potencia (T2RN) 45/45/45 MVA - 132/33/13,2 kV y campos asociados.</t>
  </si>
  <si>
    <t>Nueva ET 25 de Mayo 132/33/13,2 kV y vinculaciones en 132 kV</t>
  </si>
  <si>
    <t xml:space="preserve">Nueva ET 25 de Mayo de 1x30/20/30 MVA - 132/33/13.2 kV y obras de 13,2 y 33 kV asociadas, más la construcción de un campo de salida de línea 132 kV para su vinculación al Sistema de Transporte por Distribución Troncal </t>
  </si>
  <si>
    <t xml:space="preserve">Seccionamiento de la línea de 132 kV 25 de Mayo 500 kV - Bragado </t>
  </si>
  <si>
    <t>Seccionamiento de la línea de 132 kV Junín - Rojas y vinculación de la misma a barras de 132 kV de la nueva ET 25 de Mayo 132 kV mediante la construcción de un tramo de LAT 132 kV en doble terna de 2 km.</t>
  </si>
  <si>
    <t>Nueva ET Cnel. Charlone 500/132 kV</t>
  </si>
  <si>
    <t>Nueva ET Charlone 500/132 kV de 2x300 MVA y 3 salidas de línea en 132 kV para su vinculación con el sistema de transporte por distribución troncal de la provincia de Bs. As.</t>
  </si>
  <si>
    <t>Nueva LAT 132 kV doble terna Cnel. Charlone - Gral. Villegas</t>
  </si>
  <si>
    <t>Nueva ET Salliqueló 132/66/33/13,2 kV y vinculaciones en 132 kV</t>
  </si>
  <si>
    <t>Nueva ET Salliqueló de 132/66/33/13,2 kV y obras de 13.2, 33 y 66 kV asociadas, más la construcción de un campo de salida de línea 132 kV para su vinculación al Sistema de Transporte por Distribución Troncal. Contemplará un TR 132/66 kV-40 MVA más los correspondientes campos, y un TR 132/33/13,2 kV-30/30/20 MVA más campos asociados.</t>
  </si>
  <si>
    <t>Nueva LAT 132 kV Henderson - Salliqueló</t>
  </si>
  <si>
    <t>Nueva LAT 132 kV Junín 500 - Colón</t>
  </si>
  <si>
    <t>Nueva LAT 132 kV Arrecifes - Pergamino</t>
  </si>
  <si>
    <t>Nueva LAT 132 kV Arrecifes - Pergamino de aproximadamente unos 44 km de longitud, más campos de salida de línea en 132 kV en ambas EETT</t>
  </si>
  <si>
    <t>Nueva LAT 132 kV Ramallo - Ramallo Industrial (2do. Circuito)</t>
  </si>
  <si>
    <t>Nueva LAT 132 kV Ramallo - Ramallo Industrial de aproximadamente unos 18 km de longitud, más campos de salida de línea en 132 kV en ambas EETT</t>
  </si>
  <si>
    <t>ET Nueva GBA 500/220/132 kV</t>
  </si>
  <si>
    <t>ET Nueva GBA 500/220/132 kV de 2x300 MVA de 500/132 kV más tres campos de salida de línea en el nivel de 500 kV (Abasto/Atucha/Charlone) y dos campos de salida de línea en 132 kV (Mercedes/Lobos)</t>
  </si>
  <si>
    <t xml:space="preserve">Nueva LAT 132 kV Nueva GBA - Mercedes </t>
  </si>
  <si>
    <t>Nueva LAT 132 kV Nueva GBA - Mercedes de aproximadamente unos 55 km de longitud, más campo de salida de línea en 132 kV en ET Mercedes</t>
  </si>
  <si>
    <t xml:space="preserve">Nueva LAT 132 kV Nueva GBA - Lobos </t>
  </si>
  <si>
    <t>Nueva ET Roque Pérez 132/33/13,2 kV</t>
  </si>
  <si>
    <t xml:space="preserve">Nueva ET Roque Pérez de 1x30/20/30 MVA - 132/33/13.2 kV más dos campos de salida de línea en 132 kV para su vinculación al Sistema de Transporte por Distribución Troncal </t>
  </si>
  <si>
    <t xml:space="preserve">Seccionamiento de la línea de 132 kV 25 de Mayo 500 - Lobos </t>
  </si>
  <si>
    <t>Nueva LAT 132 kV T. Lauquen - Gral. Villegas</t>
  </si>
  <si>
    <t>Nueva LAT 132 kV T. Lauquen - Gral. Villegas de aproximadamente unos 115 km de longitud, más campos de salida de línea en 132 kV en ambas EETT</t>
  </si>
  <si>
    <t>Nueva LAT 132 kV T. Lauquen - Salliqueló</t>
  </si>
  <si>
    <t>Nueva LAT 132 kV T. Lauquen - Salliqueló de aproximadamente unos 150 km de longitud, más campos de salida de línea en 132 kV en ambas EETT</t>
  </si>
  <si>
    <t>Nueva LAT 132 kV Lincoln - Pehuajó</t>
  </si>
  <si>
    <t>Nueva LAT 132 kV Lincoln - Pehuajó de aproximadamente unos 134 km de longitud, más campos de salida de línea en 132 kV en ambas EETT</t>
  </si>
  <si>
    <t>Nueva LAT 132 kV Lincoln - Gral. Villegas</t>
  </si>
  <si>
    <t>Nueva LAT 132 kV Lincoln - Gral. Villegas de aproximadamente unos 140 km de longitud, más campos de salida de línea en 132 kV en ambas EETT</t>
  </si>
  <si>
    <t>Ampliación ET Henderson 132/33/13,2 kV - Etapa II</t>
  </si>
  <si>
    <t>Ampliación a la capacidad de transformación mediante la el reemplazo del transformador T6HE de 30/20/30 MVA - 132/33/13,2 kV existente por una nueva máquina de 30/30/10 MVA y una nueva reactancia limitadora de cortocircuito de 33 kV</t>
  </si>
  <si>
    <t>Ampliación ET Rojas 132/33/13,2 kV - Etapa II</t>
  </si>
  <si>
    <t>Ampliación a la capacidad de transformación mediante el reemplazo del transformador T2RF de 15/10/15 MVA - 132/33/13,2 kV existente por una nueva máquina de 30/20/30 MVA y obras de adecuación asociadas.</t>
  </si>
  <si>
    <t xml:space="preserve">Ampliación ET Carlos Casares 66/13,2 kV </t>
  </si>
  <si>
    <t>ET Carlos Casares: Ampliación a la capacidad de transformación mediante el reemplazo del transformador T1CJ de 66/33 kV-5 MVA por una máquina de 15/10/15 MVA-66/33/13,2 kV más campos asociados. Además deberá construirse el campo de transformación de 13,2 kV del actual transformador T4CJ</t>
  </si>
  <si>
    <t>Ampliación ET Roque Pérez 132/33/13,2 kV</t>
  </si>
  <si>
    <t>ET Roque Pérez: Instalación de un segundo transformador de potencia de 30/20/30 MVA - 132/33/13.2 kV con sus correspondientes campos.</t>
  </si>
  <si>
    <t>Ampliación ET S.A. de Giles 132/33/13,2 kV</t>
  </si>
  <si>
    <t>Ampliación ET Los Cardales 132/33/13,2 kV</t>
  </si>
  <si>
    <t>ET Los Cardales: Instalación de un segundo transformador de potencia de 45/45/45 MVA - 132/33/13.2 kV con sus correspondientes campos.</t>
  </si>
  <si>
    <t>Ampliación ET Campana Puerto 132/33/13,2 kV</t>
  </si>
  <si>
    <t>ET Campana Puerto: Instalación de un segundo transformador de potencia de 45/45/45 MVA - 132/33/13.2 kV con sus correspondientes campos.</t>
  </si>
  <si>
    <t>ET Junín Sur: Instalación de un segundo transformador de potencia de 30/20/30 MVA - 132/33/13.2 kV con sus correspondientes campos.</t>
  </si>
  <si>
    <t>ET Chivilcoy II: Instalación de un segundo transformador de potencia de 30/20/30 MVA - 132/33/13.2 kV con sus correspondientes campos.</t>
  </si>
  <si>
    <t>ET Mercedes II: Instalación de un segundo transformador de potencia de 30/20/30 MVA - 132/33/13.2 kV con sus correspondientes campos.</t>
  </si>
  <si>
    <t>ET 25 de Mayo II: Instalación de un segundo transformador de potencia de 30/30/20 MVA - 132/33/13.2 kV con sus correspondientes campos.</t>
  </si>
  <si>
    <t>Ampliación ET Ramallo Industrial 132/33/13,2 kV - Etapa II</t>
  </si>
  <si>
    <t>ET Ramallo Industrial: Ampliación a la capacidad de transformación mediante la el reemplazo del transformador T1RN de 30/30/20 MVA - 132/33/13.2 kV existente por una nueva máquina de 45/45/45 MVA y adecuaciones.</t>
  </si>
  <si>
    <t>EDEN</t>
  </si>
  <si>
    <t>Coop. Mariano Moreno</t>
  </si>
  <si>
    <t>Certificado de conveniencia y necesidad pública emitida</t>
  </si>
  <si>
    <t>A). Demanda no abastecida, es decir que se producirán importantes restricciones en el suministro de energía eléctrica. B). No radicación de nuevas demandas, con el consecuente detrioro de las economías regionales.</t>
  </si>
  <si>
    <t>Coop. Monte/EDEN/EDEA</t>
  </si>
  <si>
    <t>A). Demanda no abastecida, es decir que se producirán importantes restricciones en el suministro de energía eléctrica, ante la indisponibilidad de uno transformadores de potencia existentes (T1CA ó T2CA).</t>
  </si>
  <si>
    <t>Corredor Cierre Anillo Norte 132 kV: Apertura de T y LAT doble terna de 9 km Villa Lía - S.A. de Areco</t>
  </si>
  <si>
    <t>Apertura de T y LAT doble terna de 9 km Villa Lía - S.A. de Areco. Desvinculación de ET S.A. de Areco de la conexión en T de la línea de 132 kV Campana - V. Lía.   Se completa un tramo de 9 km de línea de 132 kV que permitirá vincular a las EETT V. Lía y S.A. de Areco. S.L a S.A. Areco</t>
  </si>
  <si>
    <t>Nueva ET S.A. de Areco II de 132 kV (Puesto de seccionamiento)</t>
  </si>
  <si>
    <t>Nueva ET S.A. de Areco II de 132 kV (Puesto de seccionamiento) y LAT 132 kV S.A. de Areco II - C. Sarmiento</t>
  </si>
  <si>
    <t>Nueva ET Capitán Sarmiento 132/33/13,2 kV y campo de salida de línea 132 kV</t>
  </si>
  <si>
    <t>Nueva ET Arrecifes 132/33/13,2 kV y campo de salida de línea 132 kV</t>
  </si>
  <si>
    <t xml:space="preserve">Nueva ET 25 de Mayo 500/132 kV y LAT 132 kV 25 de Mayo - Lobos </t>
  </si>
  <si>
    <t>Corredor Norte hasta Nueva ET S.A. de Areco II de 132 kV (Puesto de seccionamiento)</t>
  </si>
  <si>
    <t>Nueva ET 132/33/13.2 kV de 1x45/45/45 MVA en las inmediaciones de las RNN°8 y RPN°6, en la zona de las localidades de Los Cardales-Cardalito-Parada Robles</t>
  </si>
  <si>
    <t>Aumento de la capacidad de generación hidraúlica desde a región Comahue y la construcción de las líneas de 500 kV</t>
  </si>
  <si>
    <t xml:space="preserve">Nueva ET Junín 500/132 kV </t>
  </si>
  <si>
    <t>Corredor Norte hasta Nueva ET S.A. de Areco II de 132 kV (Puesto de seccionamiento), considerando la instalación del 2° TR 220/132 kV de 150 MVA en ET V. Lía y nueva LAT desde ET S.A. de Areco</t>
  </si>
  <si>
    <t xml:space="preserve">Corredor Norte hasta Nueva ET S.A. de Areco II de 132 kV (Puesto de seccionamiento), considerando la instalación del 2° TR 220/132 kV de 150 MVA en ET V. Lía </t>
  </si>
  <si>
    <t>Corredor Norte hasta Nueva ET S.A. de Areco II de 132 kV (Puesto de seccionamiento), considerando la instalación del 2° TR 220/132 kV de 150 MVA en ET V. Lía y nueva LAT desde ET S.A. de Giles</t>
  </si>
  <si>
    <t>Corredor Norte hasta Nueva ET S.A. de Areco II de 132 kV (Puesto de seccionamiento), considerando la instalación del 2° TR 220/132 kV de 150 MVA en ET V. Lía y campo de salida de línea 132 kV en ET S.A. de Giles</t>
  </si>
  <si>
    <t>Corredor Norte hasta Nueva ET S.A. de Areco II de 132 kV (Puesto de seccionamiento), considerando la instalación del 2° TR 220/132 kV de 150 MVA en ET V. Lía y campo de salida de línea 132 kV en ET Mercedes</t>
  </si>
  <si>
    <t>Campo de salida de línea ET 25 de Mayo 500/132 kV hacia la nueva Estación Transformadora</t>
  </si>
  <si>
    <t>Nueva ET Junín 500/132 kV y campo de salida de línea en 132 kV en ET Colón</t>
  </si>
  <si>
    <t>ET 25 de Mayo 500/132 kV y LAT 132 kV 25 de Mayo - Lobos</t>
  </si>
  <si>
    <t>Nueva ET Roque Pérez 132 kV</t>
  </si>
  <si>
    <t>Nueva ET S.A. de Giles 132 kV</t>
  </si>
  <si>
    <t>Nueva ET Los Cardales 132 kV</t>
  </si>
  <si>
    <t>Nueva ET Campana Puerto 132 kV</t>
  </si>
  <si>
    <t>Nueva ET Junín Sur 132 kV</t>
  </si>
  <si>
    <t>Nueva ET Chivilcoy II 132 kV</t>
  </si>
  <si>
    <t>Nueva ET Mercedes II 132 kV</t>
  </si>
  <si>
    <t>Nueva ET 25 de Mayo II 132 kV</t>
  </si>
  <si>
    <t>Dólar tipo vendedor $/USD Bco. Nación</t>
  </si>
  <si>
    <t xml:space="preserve">Nueva ET Arrecifes de 1x30/20/30 MVA - 132/33/13.2 kV y obras de 13,2 y 33 kV asociadas, más la construcción de dos campos de salida de línea 132 kV para su vinculación al Sistema de Transporte por Distribución Troncal </t>
  </si>
  <si>
    <t>Campo de salida de línea en 132 kV</t>
  </si>
  <si>
    <t>Nueva LAT 132 kV Villa Lía - Baradero de aproximadamente unos 52 km de longitud, más campos de salidas de línea en 132 kV en las EETT Villa Lía y Baradero.</t>
  </si>
  <si>
    <t xml:space="preserve">Nueva LAT 132 kV Nueva Campana - Nueva ET  Campana Puerto de aproximadamente unos 7,5 km de longitud, más campo de salida de línea en 132 kV en ET Nueva Campana. </t>
  </si>
  <si>
    <t>Nueva LAT 132 kV Chivilcoy - Chivilcoy II de aproximadamente unos 14,5 km de longitud, más campo de salida de línea en 132 kV en ET Chivilcoy</t>
  </si>
  <si>
    <t>Nueva LAT 132 kV Chivilcoy II - Chacabuco de aproximadamente unos 46 km de longitud, más campo de salida de línea en 132 kV en ET Chacabuco</t>
  </si>
  <si>
    <t>Nueva LAT 132 kV Mercedes II - S.A. de Giles de aproximadamente unos 22 km de longitud.</t>
  </si>
  <si>
    <t>Nueva LAT 132 kV Henderson - Salliqueló de aproximadamente unos 150 km de longitud, más campo de salida de línea en 132 kV en ET Henderson.</t>
  </si>
  <si>
    <t>Nueva LAT 132 kV Junín 500 kV - Junín Sur de aproximadamente 23 km de longitud</t>
  </si>
  <si>
    <t>ET S.A. de Giles: Instalación de un segundo transformador de potencia de 30/20/30 MVA - 132/33/13.2 kV con sus correspondientes campos.</t>
  </si>
  <si>
    <t>TOTAL DEL PLAN [Pesos Argentinos]</t>
  </si>
  <si>
    <t>TOTAL DEL PLAN [Dólares estadounidenses]</t>
  </si>
  <si>
    <t>Ampliación ET Chivilcoy II 132/33/13,2 kV</t>
  </si>
  <si>
    <t xml:space="preserve">Ampliación ET Junín Sur 132/33/13,2 kV </t>
  </si>
  <si>
    <t>Ampliación ET Mercedes II 132/33/13,2 kV</t>
  </si>
  <si>
    <t xml:space="preserve">Ampliación ET 25 de Mayo II 132/33/13,2 kV </t>
  </si>
  <si>
    <t>Nueva LAT 132 kV Nueva GBA - Lobos de aproximadamente unos 48 km de longitud, más campo de salida de línea en 132 kV en ET Lobos</t>
  </si>
  <si>
    <t>Nueva LAT 132 kV Campana Puerto -Campana III de aproximadamente 10 km de longitud, más campo de salida de línea en 132 kV en ET Campana III.</t>
  </si>
  <si>
    <t>Nueva LAT 132 kV Chacabuco Industrial - Junín Sur de aproximadamente 48 km de longitud, más campo de salida de línea en 132 kV en ET Chacabuco Industrial.</t>
  </si>
  <si>
    <t>Nueva LAT 132 kV Mercedes - Mercedes II de aproximadamente unos 13 km de longitud, más dos campos de salida de línea en 132 kV, uno en ET Mercedes y otro en ET Mercedes II</t>
  </si>
  <si>
    <t>Nueva LAT 132 kV Junín 500 - Colón de aproximadamente unos 95 km de longitud, más un campo de salida de línea en 132 kV en ET Colón.</t>
  </si>
  <si>
    <t>Seccionamiento de la línea de 132 kV 25 de Mayo 500 - Lobos y vinculación de la misma a barras de 132 kV de la nueva ET Roque Pérez 132 kV mediante la construcción de un tramo de LAT 132 kV en doble terna de 40 km.</t>
  </si>
  <si>
    <t>Sistema de comunicaciones EETT Este y Sur</t>
  </si>
  <si>
    <t>sistema de comunicaciones que se debe instalar y poner en servicio para incorporar las nuevas SSEE Sur y Este en una primer etapa, y la SSEE Olmos y Berisso en una etapa posterior.</t>
  </si>
  <si>
    <t>Ampliación ET Magdalena 132/13,2 Kv</t>
  </si>
  <si>
    <t>Instalación de un segundo Transformador 132/33kV 20MVA más el campo de 132kV asociado</t>
  </si>
  <si>
    <t>Nueva ET Olmos 132/13,2 KV - Etapa 1 + Vinculaciones</t>
  </si>
  <si>
    <t>construcción de una Nueva Estación Transformadora 2x40MVA - 132/13,2kV a realizarse en forma modular.</t>
  </si>
  <si>
    <t>Ampliación ET Tolosa 132/13,2 kV</t>
  </si>
  <si>
    <t>• Creación de tres nuevas secciones celdas de media tensión de 13,2kV, de manera de proporcionar una mayor confiabilidad y flexibilidad operativa a la red de distribución.
• Transformador de potencia de reserva 40MVA 132/13,2kV.</t>
  </si>
  <si>
    <t>Ampliación barras de13,2kV PARA SSEE 132/13,2 KV</t>
  </si>
  <si>
    <t>Construcción de una sección de barras transportable de 13,2 kV para maniobra y protección de alimentadores destinada a actuar ante contingencia como reemplazo de las secciones de barras existentes en alguna de las Subestaciones del área de concesión de EDELAP.</t>
  </si>
  <si>
    <t>Ampliaciones en SE Barragán (2DO TR 220/132 KV y tendido de 4 ternas 132 Kv entre SE Barragán y SSEE Edelap)</t>
  </si>
  <si>
    <t>La presente obra contempla el traslado de un transformador de 220/132/13,2kV 300/300/100MVA desde SE La Plata a SE Barragán, y la supervisión del montaje de 4 nuevos vínculos de 132kV desde SE Barragán a SE Tolosa y SE Dique</t>
  </si>
  <si>
    <t>Nueva ET Villa Elisa 132/13,2 KV + vinculación en 132 KV</t>
  </si>
  <si>
    <t>Construcción de una Nueva Suebestación Transformadora 2x40MVA - 132/13,2kV a realizarse en la Ciudad de La Plata, localidad de Villa Elisa a fin de inyectar potencia en el nivel de tensión de 13,2kV.</t>
  </si>
  <si>
    <t>Nueva ET Berisso 132/13,2 KV + vinculación en 132 KV</t>
  </si>
  <si>
    <t>Construcción de una Nueva Suebestación Transformadora 2x40MVA - 132/13,2kV, en la Ciudad de Berisso, a fin de inyectar potencia en el nivel de tensión de 13,2 kV.</t>
  </si>
  <si>
    <t>Ampliación de la subestación transformadora Ensenada mediante la instalación de dos transformadores de 40MVA - 132/13,2kV, a fines de inyectar potencia en el nivel de tensión de 13,2kV.</t>
  </si>
  <si>
    <t>Ampliación ET Sur 2DO TR 132/13,2 KV</t>
  </si>
  <si>
    <t>La presente obra contempla la ampliación de la subestación Sur de 1x40MVA a 2x40MVA - 132/13,2kV</t>
  </si>
  <si>
    <t>Ampliación ET Este 2DO TR 132/13,2 KV</t>
  </si>
  <si>
    <t>La presente obra contempla la ampliación de la subestación Este de 1x40MVA a 2x40MVA - 132/13,2kV</t>
  </si>
  <si>
    <t>Nueva ET Olmos 132/13,2 KV - Etapa 2</t>
  </si>
  <si>
    <t>La presente obra contempla la ampliación de la subestación Olmos de 1x40MVA a 2x40MVA - 132/13,2kV</t>
  </si>
  <si>
    <t>EDELAP</t>
  </si>
  <si>
    <t>R29 / 2015</t>
  </si>
  <si>
    <t xml:space="preserve"> ---</t>
  </si>
  <si>
    <t>Toda la concesión</t>
  </si>
  <si>
    <t>Partido de Magdalena</t>
  </si>
  <si>
    <t>Restriciion de la demanda e imposibilidad de abastecer el crecimiento de la zona de Magdalena</t>
  </si>
  <si>
    <t>Zona sur de La Plata, barrios: Olmos, Abasto, Los Hornos y Romero</t>
  </si>
  <si>
    <t>Restriciion de la demanda e imposibilidad de abastecer el crecimiento de la zona Sur de la ciudad de La Plata</t>
  </si>
  <si>
    <t>Zona Centro de La Plata. Barrios Tolosa, Ringuelet, casco urbano</t>
  </si>
  <si>
    <t>Restriciion de la demanda e imposibilidad de abastecer el crecimiento de la zona centro de la ciudad de La Plata</t>
  </si>
  <si>
    <t>Restriciion de la demanda e imposibilidad de abastecer el crecimiento de la concesión</t>
  </si>
  <si>
    <t>Imposibilidad de evacuar 600MVA de la nueva CT Barragán. Segundo punto de interconexión al SADI</t>
  </si>
  <si>
    <t>Zona norte la Plata, Partidos de Villa Elisa, City Bell y Arturo Segui</t>
  </si>
  <si>
    <t>Partido de Berisso</t>
  </si>
  <si>
    <t>Restriciion de la demanda e imposibilidad de abastecer el crecimiento de la ciudad de Berisso</t>
  </si>
  <si>
    <t>Partido de Ensenada, y La Plata. Barrios Punta Lara, el Dique, Tolosa y Riguelet</t>
  </si>
  <si>
    <t>Restriciion de la demanda e imposibilidad de abastecer el crecimiento de la ciudad de Ensenada y parte de la ciudad de La Plata</t>
  </si>
  <si>
    <t>Zona sur de La Plata, barrios: Olmos, San Loreszo, Villa Elvira y Los Hornos.</t>
  </si>
  <si>
    <t>Zona este de La Plata y Sur de Berisso. barrios: Villa Elvira, San Lorenzo, Sicardi, El Carmen.</t>
  </si>
  <si>
    <t>Restriciion de la demanda e imposibilidad de abastecer el crecimiento de la zona Este de la ciudad de La Plata</t>
  </si>
  <si>
    <t>ET PARQUE INDUSTRIAL MDP</t>
  </si>
  <si>
    <t>Nueva ET 2x30/20/30 MVA - 132/33/13,2 kV + lineas de vinculacion en 132 kV (2,4 kM en doble terna)</t>
  </si>
  <si>
    <t>ET GENERAL BELGRANO</t>
  </si>
  <si>
    <t>Nueva ET 2x30/20/30 MVA - 132/33/13,2 kV</t>
  </si>
  <si>
    <t>LAT G. BELGRANO - NEWTON</t>
  </si>
  <si>
    <t>LAT 132 kV simple terna de 35 kM de longitud + campo de salida en 132 kV en ET Newton</t>
  </si>
  <si>
    <t>LAT G. BELGRANO - CHASCOMUS</t>
  </si>
  <si>
    <t>LAT 132 kV simple terna de 80 kM de longitud + campo de salida en 132 kV en ET Chascomús</t>
  </si>
  <si>
    <t>ET AYACUCHO</t>
  </si>
  <si>
    <t>Nueva ET 2x15/10/15 MVA - 132/33/13,2 kV + lineas de vinculacion en 132 kV (3,2 kM en doble terna)</t>
  </si>
  <si>
    <t>ET MAR DEL TUYU</t>
  </si>
  <si>
    <t>Nueva ET 1x30/20/30 MVA - 132/33/13,2 kV</t>
  </si>
  <si>
    <t>ET LAS TONINAS</t>
  </si>
  <si>
    <t>Ampliación ET incorporando 2do transformador de 30/30/20 MVA - 132/33/13,2 kV</t>
  </si>
  <si>
    <t>ET VALERIA DEL MAR</t>
  </si>
  <si>
    <t>Ampliación ET incorporando 2do transformador de 15/10/10 MVA - 132/33/13,2 kV (transformador existente)</t>
  </si>
  <si>
    <t>ET BALCARCE</t>
  </si>
  <si>
    <t>Ampliación ET incorporando 3er transformador de 30/30/20 MVA - 132/33/13,2 kV</t>
  </si>
  <si>
    <t>ET CHASCOMUS</t>
  </si>
  <si>
    <t>Ampliación ET reemplazando el actual transformador T2CU de 15/10/15 MVA por otro de 30/20/30 MVA (transformador existente)</t>
  </si>
  <si>
    <t>ET GONZALES CHAVES</t>
  </si>
  <si>
    <t>Ampliación ET incorporando 2do transformador de 15/10/15 MVA - 132/33/13,2 kV (transformador existente)</t>
  </si>
  <si>
    <t>ET MAR DE AJO</t>
  </si>
  <si>
    <t>Ampliación ET reemplazando el actual transformador T2MJ de 15/10/15 MVA por otro de 30/10/30 MVA</t>
  </si>
  <si>
    <t>ET MIRAMAR</t>
  </si>
  <si>
    <t>ET VILLA GESELL</t>
  </si>
  <si>
    <t>Ampliación ET reemplazando el actual transformador T1VG de 15/10/15 MVA por otro de 30/20/30 MVA</t>
  </si>
  <si>
    <t>ET LAS ARMAS</t>
  </si>
  <si>
    <t>ET QUEQUEN</t>
  </si>
  <si>
    <t>Instalación de nuevo transformador 15/10/15 MVA y adecuación de la ET (actual "T" de la línea MP-NE): Creación de sistema doble barra en 132 kV, nuevo campo de transformación y nueva SL</t>
  </si>
  <si>
    <t>DT NORTE - RUTA 2</t>
  </si>
  <si>
    <t>LAT DT VIVORATA - NORTE</t>
  </si>
  <si>
    <t>Nueva LAT 132 kV DT 21 kM</t>
  </si>
  <si>
    <t>ET GRAL MADARIAGA</t>
  </si>
  <si>
    <t>Instalación de un transformador 132/34,5/13,8 kV – 15/10/15 MVA.</t>
  </si>
  <si>
    <t>ET AZUL</t>
  </si>
  <si>
    <t>Reemplazo de un trafo de 15 por otro 132/33/13,2 kV 30/30/20 MVA</t>
  </si>
  <si>
    <t>Instalación tercer transformador 132/33/13,2 kV 30/20/30 MVA</t>
  </si>
  <si>
    <t>EDEA</t>
  </si>
  <si>
    <t>Otorgada por Res 374/11</t>
  </si>
  <si>
    <t>620.000 habitantes / Partido de General Pueyrredón / 1460 km2</t>
  </si>
  <si>
    <t>Demanda existente no abastecida en condiciones N - No radicación de nueva demanda - Mantener E/S generación local ineficiente (6 MW) - Demanda no abastecida en condiciones N-1 - Calidad de producto deficiente</t>
  </si>
  <si>
    <t>30.000 habitantes / Partidos de General Belgrano y General Paz / 3112 km2</t>
  </si>
  <si>
    <t>Demanda existente no abastecida en condiciones N - Mantener E/S generación local ineficiente (1.5 MW) - Demanda no abastecida en condiciones N-1 - Calidad de producto deficiente</t>
  </si>
  <si>
    <t>100.000 habitantes / Partidos de General Belgrano y General Paz y Partido de la Costa / 3338 km2</t>
  </si>
  <si>
    <t>Demanda no abastecida en condiciones N-1 - Calidad de producto deficiente en partido de la Costa</t>
  </si>
  <si>
    <t>Otorgada por Res 271/08</t>
  </si>
  <si>
    <t>36.000 habitantes / Partidos de Ayacucho y Rauch / 11115 km2</t>
  </si>
  <si>
    <t>No radicación de nueva demanda - Mantener E/S generación local ineficiente (4.5 MW) - Demanda no abastecida en condiciones N-1 - Calidad de producto deficiente</t>
  </si>
  <si>
    <t>70.000 habitantes / Partido de la Costa  / 226 km2</t>
  </si>
  <si>
    <t>Demanda existente no abastecida en condiciones N  - Demanda no abastecida en condiciones N-1 - Calidad de producto deficiente</t>
  </si>
  <si>
    <t>COOP. PINAMAR</t>
  </si>
  <si>
    <t>25.400 habitantes / Partido de Pinamar / 63 km2</t>
  </si>
  <si>
    <t>EDEA - COOP. BALCARCE</t>
  </si>
  <si>
    <t>681.000 habitantes / Partidos de Balcarce, Lobería, Gral Pueyrredón / 10330 km2</t>
  </si>
  <si>
    <t>Demanda existente no abastecida en condiciones N-1</t>
  </si>
  <si>
    <t>Otorgada por Res 316/04</t>
  </si>
  <si>
    <t>48.000 habitantes / Partidos de Chascomús y Lezama / 5330 km2</t>
  </si>
  <si>
    <t>EDEA - COOP B. JUAREZ</t>
  </si>
  <si>
    <t>Otorgada por Res 537/07</t>
  </si>
  <si>
    <t>33.000 habitantes / Partidos de G. Chaves y Benito Juarez / 9091 km2</t>
  </si>
  <si>
    <t>Demanda existente no abastecida en condiciones N  - Demanda no abastecida en condiciones N-1</t>
  </si>
  <si>
    <t>EDEA - COOP. SAN BERNARDO - COOP MAR DE AJO</t>
  </si>
  <si>
    <t>Otorgada por Res. N°210/13</t>
  </si>
  <si>
    <t>Demanda existente no abastecida en condiciones N - Demanda no abastecida en condiciones N-1 - Mantener E/S generación local ineficiente (6 MW)</t>
  </si>
  <si>
    <t>40.000 habitantes / Partido de General Alvarado / 1678 km2</t>
  </si>
  <si>
    <t>Demanda existente no abastecida en condiciones N - Mantener E/S generación local ineficiente (10 MW)</t>
  </si>
  <si>
    <t>COOP. VILLA GESELL</t>
  </si>
  <si>
    <t>31.000 habitantes / Partido de Villa Gesell / 285 km2</t>
  </si>
  <si>
    <t>32.000 habitantes / Partidos de Maipú y Mar Chiquita / 5742 km2</t>
  </si>
  <si>
    <t>Demanda existente no abastecida en condiciones N-1 - Mantener E/S generación local ineficiente (10 MW)</t>
  </si>
  <si>
    <t>COOP. NECOCHEA - EDEA</t>
  </si>
  <si>
    <t>109.000 habitantes / Partidos de Necochea y Lobería / 9183 km2</t>
  </si>
  <si>
    <t>Otorgada por Res 274/11</t>
  </si>
  <si>
    <t>Demanda existente no abastecida en condiciones N - Demanda no abastecida en condiciones N-1 - Mantener E/S generación local ineficiente (7 MW) - Calidad de producto deficiente</t>
  </si>
  <si>
    <t>COOP MADARIAGA</t>
  </si>
  <si>
    <t>20.000 habitantes / Partido de General Madariaga / 2947 km2</t>
  </si>
  <si>
    <t>COOP AZUL</t>
  </si>
  <si>
    <t>65.000 habitantes / Partido de Azul / 6594 km2</t>
  </si>
  <si>
    <t xml:space="preserve">Nueva ET "GUAMINI" 132/33/13kV (2x30/30/20MVA) </t>
  </si>
  <si>
    <t>Ampliación de ET PIGÜE (TRANSBA) y ET PUÁN</t>
  </si>
  <si>
    <t>Guaminí – Pigüé (132 kV)</t>
  </si>
  <si>
    <t xml:space="preserve">Construcción de 65 km de LAT entre las Ets Pigüé u Guaminí. </t>
  </si>
  <si>
    <t xml:space="preserve"> Nueva ET SUR (TRANSBA) </t>
  </si>
  <si>
    <t xml:space="preserve">Nueva ET Sur 2x45/30/45 MVA - 132/33/13,2 kV en proximidades de Loma Paraguaya </t>
  </si>
  <si>
    <t>Adecuación de ET CARMEN DE PATAGONES (TRANSBA)</t>
  </si>
  <si>
    <t>Ampliacion de ET C. de Patagones consistente en nuevo campo acoplamiento en 33 kV y adecuación sistema telecontrol.</t>
  </si>
  <si>
    <t xml:space="preserve">ET PUAN (132/33/13.2 kV) </t>
  </si>
  <si>
    <t>Nueva ET Puan (132/33/13.2 kV) seccionando LAT Guatraché - Pigué - 2x30/30/20 MVA</t>
  </si>
  <si>
    <t>Ampliación de ET PIGÜE (TRANSBA)</t>
  </si>
  <si>
    <t>Ampliación de ET PEDRO LURO (TRANSBA)</t>
  </si>
  <si>
    <t>Instalación de un 2° transformador 132/33/13,2 kV - 15/10/15 MVA</t>
  </si>
  <si>
    <t>Ampliación de ET TORNQUIST (TRANSBA) - Nuevo trafo 30/30/20MVA</t>
  </si>
  <si>
    <t xml:space="preserve">Ampliación de ET Tornquist (TRANSBA) - 1x15/10/15MVA a 1x15/10/15 + 30/30/20 MVA </t>
  </si>
  <si>
    <t>Amp. ET NORTE DOS (TRANSBA)- 2da y 3ra ETAPA</t>
  </si>
  <si>
    <t>Ampliacion del Sistema de Barras de 13,2kV en SE Norte II (hab de una tercer barra de 13,2kV) . Instalación de un tercer transformador 45/30/45MVA + Adec.EETT</t>
  </si>
  <si>
    <t>Ampliación de ET PUNTA ALTA (TRANSBA)</t>
  </si>
  <si>
    <t>Reemplazo del transformador de 15/10/15 MVA a instalar por uno de 30/30/20 MVA</t>
  </si>
  <si>
    <t>Repotenciación ET Pigüé de 2x15/10/15 MVA a 2x30/30/20 MVA + adec. EETT</t>
  </si>
  <si>
    <t>ET PUAN  y ET GUAMINI</t>
  </si>
  <si>
    <t xml:space="preserve">ET STROEDER  (132/33/13.2 kV) </t>
  </si>
  <si>
    <t>Nueva ET de 15/15/10 MVA en la localidad de Stroeder, para abastecer a la zona sur de la Pcia de Buenos Aires.</t>
  </si>
  <si>
    <t>Ampliación de ET CORONEL SUAREZ (TRANSBA)</t>
  </si>
  <si>
    <t>Reemplazo del transformador de 20/20/6,6 MVA a instalar por uno de 30/30/20 MVA</t>
  </si>
  <si>
    <t>Ampliación de ET CHAÑARES (TRANSBA)</t>
  </si>
  <si>
    <t xml:space="preserve">Ampliación de ET CHAÑARES (TRANSBA) - 2x30/20/30MVA a 2x45/30/45 MVA </t>
  </si>
  <si>
    <t>Ampliación de ET MONTE HERMOSO (TRANSBA)</t>
  </si>
  <si>
    <t>ET ESTE</t>
  </si>
  <si>
    <t>Nueva ET  ESTE 132/33/13.2 kV (B. Blanca) seccionando LAT B. Blanca P. Alta - 2x30/20/30 MVA</t>
  </si>
  <si>
    <t xml:space="preserve"> LAT Macachín – Puán (132 kV)</t>
  </si>
  <si>
    <t xml:space="preserve"> LAT vinculando las ETs Macachín y Puán (132 kV) - 95 km</t>
  </si>
  <si>
    <t>LAT C. Suárez – C. Pringles (132 kV)</t>
  </si>
  <si>
    <t xml:space="preserve"> LAT vinculando las ETs Cnel Suárez y Cnel Pringles (132 kV) - 95 km</t>
  </si>
  <si>
    <t>Amp. ET NORTE DOS (TRANSBA) - 4ta ETAPA</t>
  </si>
  <si>
    <t>Adquisición transformador respaldo de 45/30/45 MVA, como respaldo a la instalacion existente.</t>
  </si>
  <si>
    <t>Ampliación de ET LAPRIDA (TRANSBA)</t>
  </si>
  <si>
    <t>ET Laprida - readecuación potencias trafos a 2 x 15/10/15: reemplazo del actual trafo de 132/13.2 kV 10 MVA y el de 33/13.2 kV 5 MVA por uno de 15/10/15 MVA</t>
  </si>
  <si>
    <t xml:space="preserve">EDES y Municipio Guamini (Plan Mas Cerca 2015) </t>
  </si>
  <si>
    <t>-</t>
  </si>
  <si>
    <t xml:space="preserve">Mejora  de disponibilidad (nuevo punto de ofrta en 132kV ante la  falta de alim desde Tres Lomas) y  calidad de producto técnico al 100% de la demanda de Guamini, Carhue y Espartillar. Mediante una obra de menor tenro: Laguna Alsina, Casbas. </t>
  </si>
  <si>
    <t>En N-1 de alim de MT demanda al corte del 100%.  En N necesidad de Generacion distribuida por lapsos muy largos.  Limites al crecimiento industrial regional.</t>
  </si>
  <si>
    <t>EDES</t>
  </si>
  <si>
    <t>Otorgada por Res MI 374/11</t>
  </si>
  <si>
    <t>Aproximadamante el 40% de la demanda el Partido de Bahia Blanca incluyendo a la franja industrial y zona portuaria.</t>
  </si>
  <si>
    <t>Restricción de demanda  y achatamiento del crecimiento del sector industrial  en el sur de la ciudad por falta de oferta de potencia.</t>
  </si>
  <si>
    <t>Otorgada por Res MIVySP_962_2009</t>
  </si>
  <si>
    <t xml:space="preserve">Aproximadamante el 20% de la demanda el Partido de Carmen de Patagones alcanzando a las obras asociadas de proyectos de riego y rurales favoreciendo la promoción industrial  hacia ambos lados de la zona urbana. </t>
  </si>
  <si>
    <t>Imposibilidad de desarrollo de rural por falta de infraestructura de red de MT para equipos de riego</t>
  </si>
  <si>
    <t>EDES, Cooperativa de Puán , Darregueira y la zona</t>
  </si>
  <si>
    <t>S/D</t>
  </si>
  <si>
    <t>Todo el partido de Puán, y Darregueira, incluyendo las ppoblaciones de Azopardo, 17 de Agosto, Felipe Solá, Bordenave, Villa Iris y la industria de la  maltería  de la zona.</t>
  </si>
  <si>
    <t>Imposibilidad de desarrollo industrial y rural, de una gran empresa y muchos pequeños emprendimientos rurales de producción y elaboración de materia prima.</t>
  </si>
  <si>
    <t>Directamente, la población de Pedro Luro y zona rural de influencia en el valle del Río Colorado. Indirectamente, toda la población de Bahía Blanca y alrededores, dado que se alimentaría un bombeo de importancia para un acueducto que abastecería a la ciudad.</t>
  </si>
  <si>
    <t>Imposibilidad de realizar la obra del acueducto Bahía Blanca - Río Colorado, freno al crecimiento de Pedro Luro, corte de demanda total ante contingencias simples.</t>
  </si>
  <si>
    <t>EDES,  INTERPACK (Papelera) y Municipio de Tornquist (Plan Mas Cerca 2015)</t>
  </si>
  <si>
    <t>Papelera de Tornquist y aproximadamante el 40% de la demanda el Partido de Tornquist incluyendo como beneficiarios  tambien a Saavedra, Saldungaray y localidades vecinas: Sierra de la Ventana y Villa Ventana por mejoras en oferta de potencia de respaldo.</t>
  </si>
  <si>
    <t>Demanda al corte de un porcentaje superior al 5% de los clientes del area servida</t>
  </si>
  <si>
    <t>Aproximadamante el 25% de la demanda el Partido de Bahia Blanca en la zona Norte de la ciudad con gran expansión de la demanda T1 R en el ultimo lustro.</t>
  </si>
  <si>
    <t>Demanda al corte de un porcentaje superior al 10% de los clientes de Bahia Blanca. Costo Social por imagen negativa de la empresa</t>
  </si>
  <si>
    <t>Coop Punta Alta</t>
  </si>
  <si>
    <t xml:space="preserve">Aproximadamente el 35% de la demanda de Punta Alta y la Base Naval Puerto Belgrano. </t>
  </si>
  <si>
    <t>No permitir crecimientos horizontales y verticales de la demanda en la localidad de Punta Alta , barrios periféricos y la Base Naval.</t>
  </si>
  <si>
    <t>Otorgada por Res MIVySP_374_2011</t>
  </si>
  <si>
    <t>El 100% de la demanda el Partido de Saavedra incluyendo esta localidad, Piguë y Espartillar por mejoras en oferta de potencia de respaldo.</t>
  </si>
  <si>
    <t>Demanda al corte de un porcentaje superior al 10% de los clientes del aea servida. Costos adicionales de generación</t>
  </si>
  <si>
    <t>Localidades de Stroeder, Casás, Los Pocitos y San Blás.</t>
  </si>
  <si>
    <t>Mala calidad de producto entregado a los clientes de Casás, Los Pocitos y San Blás.</t>
  </si>
  <si>
    <t>Otorgada por Res MI 367/12</t>
  </si>
  <si>
    <t>El 100% de la demanda el Partido de Coronel Suarez incluyendo esta localidad,Huanguelen, Gral Lamadrid, Arroyo Cortopor mejoras en oferta de potencia de respaldo.</t>
  </si>
  <si>
    <t>Demanda al corte de un porcentaje superior al 5% de los clientes del aea servida. Costos adicionales de generación</t>
  </si>
  <si>
    <t>Localidades de Cabildo, Saldungaray, Dique paso Piedras y zona de Grumbein de Bahía Blanca</t>
  </si>
  <si>
    <t>Negativa de oferta de potencia a las localidades mencionadas.</t>
  </si>
  <si>
    <t>20% de la población de Bahía Blanca, la localidad de Cerri, Médanos, Nicolás Levalle y demás localidades del corredor Cerri - Médanos</t>
  </si>
  <si>
    <t>Localidad de Monte Hermoso</t>
  </si>
  <si>
    <t>Demanda al corte por no poder cubrir los picos de consumo en verano (demanda muy estacional por ser una localidad de veraneo)</t>
  </si>
  <si>
    <t>20% de la localidad de Bahía Blanca</t>
  </si>
  <si>
    <t>Demanda al corte por no poder cubrir los picos de consumo en el área este de la ciudad, por falta de oferta de potencia en niveles de 33 kV y 13,2 kV.</t>
  </si>
  <si>
    <t xml:space="preserve">Inestabilidad de tensión en ET Puán. </t>
  </si>
  <si>
    <t>Localidad de Cnel Suárez.</t>
  </si>
  <si>
    <t>Inestabilidad de tensión en ET Cnel Suárez.</t>
  </si>
  <si>
    <t>Localidad de Laprida y Consorcios de producción rurales (Artalejos, Malaver,  Las Hermanas, Combate de Paraguil, etc).</t>
  </si>
  <si>
    <t>Demanda al corte ante contingencia simple, freno al crecimiento de nuevos consorcios rurales.</t>
  </si>
  <si>
    <t>La ejecucion de esta obra y la de la ET Pigüé  requieren su ejecución en simultáneo.</t>
  </si>
  <si>
    <t>Esta obra surge como requerimiento de TRANSBA para mejorar operación y respuesta de la red de transmisión en el nodo Puán</t>
  </si>
  <si>
    <t>Esta obra surge como requerimiento de TRANSBA para mejorar operación y respuesta de la red de transmisión en el nodo Suárez</t>
  </si>
  <si>
    <t>EN EJECUCION</t>
  </si>
  <si>
    <t>Ampliación ET Villa Lía 220/132 kV; Apertura de T y LAT doble terna de 9 km Villa Lía - S.A. de Areco</t>
  </si>
  <si>
    <t xml:space="preserve">Nueva ET Capitán Sarmiento 132/33/13,2 kV y Nueva LAT 132 kV C. Sarmiento - Arrecifes </t>
  </si>
  <si>
    <t xml:space="preserve">Nueva ET Arrecifes 132/33/13,2 kV y Nueva LAT 132 kV Arrecifes - Salto </t>
  </si>
  <si>
    <t>Nueva ET 25 de Mayo 500/132 kV y campo de salida de línea 132 kV</t>
  </si>
  <si>
    <t>Nueva ET 25 de Mayo 500/132 kV y Nueva LAT 132 kV 9 de Julio - Bragado</t>
  </si>
  <si>
    <t xml:space="preserve">Nueva ET 25 de Mayo 500/132 kV </t>
  </si>
  <si>
    <t xml:space="preserve">Ampliación ET Nueva Campana 500/132 kV y Nueva LAT 132 kV Nueva Campana - Nueva ET  Campana Puerto </t>
  </si>
  <si>
    <t>Ampliación ET Villa Lía: Construcción de doble juego de barras de 132 kV, acoplamiento de barras y Nuevo Edificio de Comando.</t>
  </si>
  <si>
    <t>Nueva ET Junín 500/132 kV y campo de salida de línea en 132 kV</t>
  </si>
  <si>
    <t>Nueva ET Junín 500/132 kV y LAT desde dicha ET a la futura ET</t>
  </si>
  <si>
    <t xml:space="preserve">ET 25 de Mayo 500/132 kV; LAT 132 kV 25 de Mayo - Chivilcoy y seccionamiento de la línea de 132 kV Bragado - Saladillo </t>
  </si>
  <si>
    <t>Nueva ET Junín 500/132 kV, LAT 132 kV Junín 500-Junín Sur y LAT 132 kV Junín Sur-Chacabuco Industrial</t>
  </si>
  <si>
    <t>Nueva ET 25 de Mayo 500/132 kV, LAT 132 kV 25 de Mayo - Lobos, ET Lobos 132 kV y campo salida de línea en 132 kV.</t>
  </si>
  <si>
    <t>Ampliación ET Ramallo 500/220/132 kV (en ejecución por Res. N°1/2003)</t>
  </si>
  <si>
    <t>Ampliación ET Ramallo 500/220/132 kV y Corredor Norte 132 kV completo hasta Salto, considerando la instalación del 2° TR 220/132 kV de 150 MVA en ET V. Lía</t>
  </si>
  <si>
    <t>Ampliación ET Ramallo 500/220/132 kV y Campos de salida de línea en 132 kV en ambas EETT.</t>
  </si>
  <si>
    <t>Expansión del sistema de EAT de 500 kV: Corredor Río Diamante-Charlone-Junín-Nueva GBA y EETT intermedias.</t>
  </si>
  <si>
    <t>ET Nueva GBA 500/132 kV.</t>
  </si>
  <si>
    <t>Nueva ET Charlone 500/132 kV, DT 132 kV Charlone - Gral. Villegas y campo salida de línea 132 kV en ET T. Lauquen</t>
  </si>
  <si>
    <t>Nueva ET Charlone 500/132 kV, DT 132 kV Charlone - Gral. Villegas y campo salida de línea 132 kV en ET T. Lauquen; y Nueva ET Junín 500/132 kV y LAT 132 kV Junín 500-Junín Sur</t>
  </si>
  <si>
    <t>Nueva LAT 132 kV en doble terna Cnel. Charlone - Gral. Villegas de aproximadamente unos 45 km de longitud, más dos campos de salida de línea en 132 kV en ET Gral. Villegas.</t>
  </si>
  <si>
    <t>Nueva ET Charlone 500/132 kV</t>
  </si>
  <si>
    <t>A). Permanencia de las Centrales Térmicas "INEFICIENTES" instaladas en la región dentro del marco "Generación Distribuida" (CT Colón=15 MW, CT Arrecifes=20 MW, CT C. Sarmiento=5 MW y CT Salto=22,5 MW); B). Demanda no abastecida, es decir que se producirán importantes restricciones en el suministro de energía eléctrica; C). No radicación de nuevas demandas, con el consecuente detrioro de las economías regionales.</t>
  </si>
  <si>
    <t>A). Demanda no abastecida, es decir que se producirán importantes restricciones en el suministro de energía eléctrica; B). No radicación de nuevas demandas, con el consecuente detrioro de las economías regionales.</t>
  </si>
  <si>
    <t>A). Permanencia de las Centrales Térmicas "INEFICIENTES" instaladas en la región dentro del marco "Generación Distribuida" (CT Pehuajó=22,4 MW, CT Junín=22 MW, CT Lincoln=15 MW, CT Salto=22,5 MW y CT Bragado=50 MW); B). Demanda no abastecida, es decir que se producirán importantes restricciones en el suministro de energía eléctrica; C). No radicación de nuevas demandas, con el consecuente detrioro de las economías regionales.</t>
  </si>
  <si>
    <t>A). Permanencia de las Centrales Térmicas "INEFICIENTES" instaladas en la región dentro del marco "Generación Distribuida" (CT Pehuajó=22,4 MW y CT Bragado=50 MW);  B). Demanda no abastecida, es decir que se producirán importantes restricciones en el suministro de energía eléctrica; C). No radicación de nuevas demandas, con el consecuente detrioro de las economías regionales.</t>
  </si>
  <si>
    <t>A). Permanencia de la Central Térmica "INEFICIENTES" instalada en la localidad de Lobos dentro del marco "Generación Distribuida" (CT Lobos=15,7 MW); B). Demanda no abastecida, es decir que se producirán importantes restricciones en el suministro de energía eléctrica; C). No radicación de nuevas demandas, con el consecuente detrioro de las economías regionales.</t>
  </si>
  <si>
    <t>Coop. Colón</t>
  </si>
  <si>
    <t>A). Permanencia de la Central Térmica "INEFICIENTE" instalada en la localidad de Colón dentro del marco "Generación Distribuida" (15 MW); B). Demanda no abastecida, es decir que se producirán importantes restricciones en el suministro de energía eléctrica. C). No radicación de nuevas demandas, con el consecuente detrioro de las economías regionales.</t>
  </si>
  <si>
    <t>A). Permanencia de la Central Térmica "INEFICIENTE" instalada en la localidad de Junín dentro del marco "Generación Distribuida" (22 MW);  y las unidades generadoras instaladas por EDEN en las localidades de Vedia por 2,2 MW y Gral. Arenales por 1,1 MW; B). Demanda no abastecida, es decir que se producirán importantes restricciones en el suministro de energía eléctrica. C). No radicación de nuevas demandas, con el consecuente detrioro de las economías regionales.</t>
  </si>
  <si>
    <t>A). Permanencia de la Central Térmica "INEFICIENTE" instalada en la localidad de Lincoln dentro del marco "Generación Distribuida" (15 MW);  y las unidades generadoras instaladas por EDEN en las localidades de Vedia por 2,2 MW y Gral. Arenales por 1,1 MW; B). Demanda no abastecida, es decir que se producirán importantes restricciones en el suministro de energía eléctrica. C). No radicación de nuevas demandas, con el consecuente detrioro de las economías regionales.</t>
  </si>
  <si>
    <t>A). Demanda no abastecida, es decir que se producirán importantes restricciones en el suministro de energía eléctrica, debido a la saturación del transformador T5BG; B). No radicación de nuevas demandas, con el consecuente detrioro de las economías regionales.</t>
  </si>
  <si>
    <t>EDEN/Coop. San Pedro</t>
  </si>
  <si>
    <t>A). Demanda no abastecida, es decir que se producirán importantes restricciones en el suministro de energía eléctrica debido a la saturación del vinculo 132 kV San Pedro - Papel Prensa y a las tensiones fuera de banda en las EETT Baradero y Papel Prensa; B). No radicación de nuevas demandas, con el consecuente detrioro de las economías regionales.</t>
  </si>
  <si>
    <t>A). No radicación de nuevas demandas, con el consecuente detrioro de las economías regionales.</t>
  </si>
  <si>
    <t>A). Restricciones de demanda debido a la saturación de los transformadores de la ET CAMPANA 132 kV, los cuales operan al 85% de su límite térmico en escenarios de alta demanda; B). No radicación de nuevas demandas, con el consecuente detrioro de las economías regionales.</t>
  </si>
  <si>
    <t>A). Demanda no abastecida debido a la saturación del único transformador de 150 MVA-220/132 kV instalado en la ET. Además, en caso de indisponibilidad de dicha máquina se producirán importantes restricciones en el suministro de energía eléctrica.; B). No radicación de nuevas demandas, con el consecuente detrioro de las economías regionales.</t>
  </si>
  <si>
    <t>A). El sistema eléctrico del área Centro-Norte presentará problemas de control de tensión en barras de 132 kV, requieriendo el despacho forzado de generación térmica "INEFICIENTE" en distintos nodos del sistema; B) Restricciones de demanda en caso de indiponibilidad de algún vinculo de 132 kV; C). No radicación de nuevas demandas, con el consecuente detrioro de las economías regionales.</t>
  </si>
  <si>
    <t>A). Restricciones de demanda debido a la saturación de los transformadores de la ET CHIVILCOY, los cuales operan al 93% de su límite térmico en escenarios de alta demanda; B). No radicación de nuevas demandas, con el consecuente detrioro de las economías regionales; C). Como consecuencia del retraso de la entrada en servicio de la obra de ampliación en el sistema de transporte, deberá inyectarse potencia en nodo Chivilcoy mediante la incorporación de nueva generación térmica del tipo distribuida.</t>
  </si>
  <si>
    <t>A). Restricciones de demanda debido a la condición de radialidad de la ET Chivilcoy II, en caso de indisponibilidad del vinculo 132 kV Chivilcoy-Chivilcoy II.</t>
  </si>
  <si>
    <t>A). Restricciones de demanda debido a los serios problemas de abastecimiento que presenta el nodo S.A. de Giles en el nivel de 33 kV:  Saturación de los transformadores de la ET S.A. de GILES, los cuales operan al límite de su potencia nominal y valores de tensión en barras de 33 kV muy por debajo de los admisibles (0,8 p.u.); B). Permanencia de generación térmica "INEFICIENTE" instalada en la localidad de S.A. de Giles por 1,7 MW; C). No radicación de nuevas demandas, con el consecuente detrioro de las economías regionales.</t>
  </si>
  <si>
    <t>A). Restricciones de demanda debido a la condición de radialidad de la ET S.A. de Giles, en caso de indisponibilidad del vinculo 132 kV S.A. de Areco-S.A. de Giles.</t>
  </si>
  <si>
    <t>A). Restricciones de demanda debido a la saturación de los transformadores de la ET MERCEDES, los cuales operan al 90% de su límite térmico en escenarios de alta demanda; B). No radicación de nuevas demandas, con el consecuente detrioro de las economías regionales; C). Como consecuencia del retraso de la entrada en servicio de la obra de ampliación en el sistema de transporte, deberá inyectarse potencia en nodo Mercedes mediante la incorporación de nueva generación térmica del tipo distribuida.</t>
  </si>
  <si>
    <t>EDEN/Coop. Monte</t>
  </si>
  <si>
    <t>A). Restricciones de demanda debido a la condición de radialidad de la ET Lobos, en caso de indisponibilidad del vinculo 132 kV 25 de Mayo-Lobos.</t>
  </si>
  <si>
    <t xml:space="preserve"> A). No radicación de nuevas demandas, con el consecuente detrioro de las economías regionales. B). Como consecuencia del retraso de la entrada en servicio de la obra de ampliación en el sistema de transporte, deberá inyectarse potencia en el nodo Ramallo mediante la incorporación de una nueva Central Térmica en el corto plazo.</t>
  </si>
  <si>
    <t>A). Restricciones de demanda debido a la saturación de los transformadores de la ET 25 de Mayo de 66/33/13,2 kVen escenarios de alta demanda; B). No radicación de nuevas demandas, con el consecuente detrioro de las economías regionales.</t>
  </si>
  <si>
    <t>A). Restricciones de demanda en escenarios de pico debido a la saturación del vinculo de 132 kV Henderson-Trenque Lauquen; B). Importantes cortes en el suministro energético debido a la indisponibilidad del vinculo de 66 kV T. Lauquen-Tres Lomas- Salliqueló; C). No radicación de nuevas demandas, con el consecuente detrioro de las economías regionales.</t>
  </si>
  <si>
    <t>EDEN/Coop. Colón</t>
  </si>
  <si>
    <t>A). Permanencia de la Central Térmica "INEFICIENTE" instalada en la localidad de Colón dentro del marco "Generación Distribuida" (15 MW); B). Importantes cortes en el suministro energético debido a la indisponibilidad del vinculo de 132 kV Pergamino-Colón.</t>
  </si>
  <si>
    <t>EDEN/Coop. Pergamino</t>
  </si>
  <si>
    <t>A). Restricciones de demanda debido a la indisponibilidad de algunos de los vinculos de 132 kV que acometen a las ET Arrecifes o Pergamino.</t>
  </si>
  <si>
    <t>EDEN/Coop. Ramallo</t>
  </si>
  <si>
    <t>A). Restricciones de demanda debido a la indisponibilidad del vinculo de 132 kV Ramallo-Ramallo Industrial.</t>
  </si>
  <si>
    <t>Varios</t>
  </si>
  <si>
    <t>A). Evita restricciones debido a la saturación de los transformadores de 500 kV de la ET EZEIZA. B) Restricciones de demanda en caso de indiponibilidad de algún vinculo de 132 kV; C). No radicación de nuevas demandas, con el consecuente detrioro de las economías regionales.</t>
  </si>
  <si>
    <t>A). Restricciones de demanda en caso de indiponibilidad de algún vinculo de 132 kV; B). No radicación de nuevas demandas, con el consecuente detrioro de las economías regionales.</t>
  </si>
  <si>
    <t>A). Restricciones de demanda debido a serios problemas de control de tensión que presenta el nodo Roque Pérez a causa de las grandes transferencias de potencia a través del corredor de 33 kV Saladillo-R. Pérez-Lobos. B). No radicación de nuevas demandas, con el consecuente detrioro de las economías regionales.</t>
  </si>
  <si>
    <t>A). Restricciones de demanda debido a la indisponibilidad del vinculo de 132 kV Henderson - Salliqueló.</t>
  </si>
  <si>
    <t>A). Restricciones de demanda debido a la indisponibilidad de algunos de los vinculos de 132 kV que acometen a las ET Lincoln o Pehuajó.</t>
  </si>
  <si>
    <t>A). Restricciones de demanda debido a la indisponibilidad del vinculo de 132 kV Pehuajó - Gral. Villegas.</t>
  </si>
  <si>
    <t>A). Restricciones de demanda debido a la indisponibilidad del transformador T5HE; B). No radicación de nuevas demandas, con el consecuente detrioro de las economías regionales.</t>
  </si>
  <si>
    <t>EDEN/Coop. Rojas</t>
  </si>
  <si>
    <t>A). Restricciones de demanda debido a la indisponibilidad del transformador T1RF; B). No radicación de nuevas demandas, con el consecuente detrioro de las economías regionales.</t>
  </si>
  <si>
    <t>A). Restricciones de demanda debido a la indisponibilidad del transformador TR1; B). No radicación de nuevas demandas, con el consecuente detrioro de las economías regionales.</t>
  </si>
  <si>
    <t>A). Restricciones de demanda debido a la indisponibilidad del transformador T2RN; B). No radicación de nuevas demandas, con el consecuente detrioro de las economías regionales.</t>
  </si>
  <si>
    <t>A). El sistema eléctrico del área Centro-Norte presentará problemas de control de tensión en barras de 132 kV, requieriendo el despacho forzado de generación térmica "INEFICIENTE" en distintos nodos del sistema; B). Restricciones de demanda debido a la saturació del transformador T7HE de 500/132 kV de la ET Henderson; C) Restricciones de demanda en caso de indiponibilidad de algún vinculo de 132 kV; D). No radicación de nuevas demandas, con el consecuente detrioro de las economías regionales.</t>
  </si>
  <si>
    <t>ESTACION TRANSFORMADORA PERGAMINO INDUSTRIAL: LAT DE ALIMENTACION</t>
  </si>
  <si>
    <t>APERTURA DE LA LAT 132 KV PERGAMINO - ROJAS Y CONSTRUCCION DE 1,9 KM DE LINEA DE 132 KV DOBLE TERNA.    TRAZA INTERNA EN TERRENOS DEL INTA PERGAMINO (YA CEDIDOS POR ACTA)</t>
  </si>
  <si>
    <t>NUEVA ESTACION TRANSFORMADORA SAN PEDRO INDUSTRIAL</t>
  </si>
  <si>
    <t>CONSTRUCCIÓN DE UNA ESTACIÓN TRANSFORMADORA DE 132/33/13,2 KV CON LA INSTALACIÓN DE UN TRANSFORMADOR DE 30/20/30 MVA DE POTENCIA    TRANSFORMADOR / REACTANCIA / REACTOR / TRANSF. SERV. AUX. / TERRENO :  ADQUIRIDOS</t>
  </si>
  <si>
    <t>ALIMENTACIÓN A NUEVA ET SAN PEDRO INDUSTRIAL</t>
  </si>
  <si>
    <t>CONSTRUCCIÓN DE UNA LÍNEA AÉREA DE ALTA TENSIÓN 132 KV DE VINCULACIÓN ENTRE LA NUEVA ET Y LA ET P.PRENSA (PREPARADA PARA DOBLE TERNA)</t>
  </si>
  <si>
    <t>NUEVA ET TANDIL INDUSTRIAL</t>
  </si>
  <si>
    <t xml:space="preserve">NUEVA ET 132/33/13,2 KV - 2x30 MVA TRANSFORMADOR / REACTANCIA / REACTOR / TRANSF. SERV. AUX. / TERRENO / EQUIPAMIENTO ET 132 KV  (INT-SECC-DESC-TI-TV) PRIMERA ETAPA / CELDAS 33 Y 13,2 KV:  ADQUIRIDOS           </t>
  </si>
  <si>
    <t>LAT DE ALIMENTACION NUEVA ET TANDIL INDUSTRIAL</t>
  </si>
  <si>
    <t>CONSTRUCCION DE APROX. 400 METROS DE LAT DT 132 kV PARA VINCULAR LA LAT OLAVARRIA - TANDIL CON LA NUEVA ET</t>
  </si>
  <si>
    <t>COOPERATIVA ELECTRICA DE PERGAMINO</t>
  </si>
  <si>
    <t xml:space="preserve">Otorgada por MINISTERIO DE INFRAESTRUCTURA Res. MI N° 367/2012 </t>
  </si>
  <si>
    <t>Cooperativa de Provisión de Servicios Eléctricos, Públicos y Sociales de San Pedro Ltda.</t>
  </si>
  <si>
    <t>Otorgada por MINISTERIO DE INFRAESTRUCTURA Res. MI  N° 523/13</t>
  </si>
  <si>
    <t>USINA POPULAR Y MUNICIPAL DE TANDIL SEM</t>
  </si>
  <si>
    <t>Otorgada por MINISTERIO DE INFRAESTRUCTURA  Res. MI N° 210/13</t>
  </si>
  <si>
    <t>APROBADOS TRANSBA  INF.TECN. GPOR/DPR Nº029/11</t>
  </si>
  <si>
    <t>APROBADO RES DEL OPDS Nº 00092/2013</t>
  </si>
  <si>
    <t xml:space="preserve">100.000 HABITANTES </t>
  </si>
  <si>
    <t>CORTES DE SERVICIO POR CRECIMIENTO DE LA DEMANDA Y NO RADICACIÓN DE INDUSTRIAS</t>
  </si>
  <si>
    <t>26.000 HABITANTES</t>
  </si>
  <si>
    <t>DEMANDA NO ABASTECIDA</t>
  </si>
  <si>
    <t>70.000 HABITANTES</t>
  </si>
  <si>
    <t xml:space="preserve">ET BOLIVAR </t>
  </si>
  <si>
    <t>ET BOLIVAR - LAT DE ALIMENTACIÓN</t>
  </si>
  <si>
    <t>??</t>
  </si>
  <si>
    <t>COOPERATIVA ELECTRICA DE BOLIVAR</t>
  </si>
  <si>
    <t>Res MIVySP 526/08</t>
  </si>
  <si>
    <t>Asegura el abastecimiento de Bolívar, descargando la ET Henderson que se encuentra actualmente en estado de saturación.</t>
  </si>
  <si>
    <t>Nueva ET Brandsen</t>
  </si>
  <si>
    <t>Ampliación ET Rojas 132/33/13,2 kV - Etapa I</t>
  </si>
  <si>
    <t>Nivel de tensión</t>
  </si>
  <si>
    <t>500 kV</t>
  </si>
  <si>
    <t>220 kV</t>
  </si>
  <si>
    <t>132 kV</t>
  </si>
  <si>
    <t xml:space="preserve">Nivel de tensión </t>
  </si>
  <si>
    <t>Estado a 09/2016</t>
  </si>
  <si>
    <t>Plan más cerca</t>
  </si>
  <si>
    <t>Por solicitud regulatoria de TRANSBA</t>
  </si>
  <si>
    <t>NUEVA ESTACION TRANSFORMADORA PERGAMINO INDUSTRIAL - Etapa I</t>
  </si>
  <si>
    <t>ET 132/33/13,2 KV 1x30/30/30 MVA CON CAPACIDAD PARA ALOJAR DOS TRANSFORMADORES DE 30/30/30 MVA  TRANSFORMADOR / REACTANCIA / REACTOR / TRANSF. SERV. AUX. / TERRENO :  ADQUIRIDOS</t>
  </si>
  <si>
    <t>Nueva ET Brandsen de 2x30/30/20 MVA - 132/33/13.2 kV y obras de 13,2 y 33 kV asociadas, más la construcción de dos campos de salidas de línea 132 kV para su vinculación al Sistema de Transporte por Distribución Troncal (apertura LAT Monte-Chascomús)</t>
  </si>
  <si>
    <t>Nueva ET San Nicolás Norte de 2x30/20/30 MVA - 132/33/13.2 kV y seccionamiento de las dos LAT 132 kV San Nicolás – Laminados Industriales y San Nicolás – Villa Constitución Residencial.</t>
  </si>
  <si>
    <t>A). Permanencia de la Central Térmica "INEFICIENTES" instalada en la localidad de Lobos dentro del marco "Generación Distribuida" (CT Lobos=20 MW); B). Demanda no abastecida, es decir que se producirán importantes restricciones en el suministro de energía eléctrica; C). No radicación de nuevas demandas, con el consecuente detrioro de las economías regionales.</t>
  </si>
  <si>
    <t>A). Demanda no abastecida, es decir que se producirán importantes restricciones en el suministro de energía eléctrica. B). No radicación de nuevas demandas, con el consecuente detrioro de las economías regionales. C). Deberán mantenerse operativas las unidades generadoras "INEFICIENTES" instaladas en la localidad de Bolívar, la cual consta de dos unidades conformadas por dos generadores que aportan en total 2,8 MW en el sistema de 13,2 kV de la Cooperativa Eléctrica Bolívar y 1,7 MW en barras de 13,2 kV de la ET Henderson EDEN (33/13,2 kV)</t>
  </si>
  <si>
    <t xml:space="preserve">Fecha prevista de entrada en servicio </t>
  </si>
  <si>
    <t>66 kV</t>
  </si>
  <si>
    <t>Fecha de inicio de obra</t>
  </si>
  <si>
    <t>Ampliación ET Villa Lía 220/132 kV: 2do. trafo de 150 MVA-220/132 kV</t>
  </si>
  <si>
    <t xml:space="preserve">Colón, L.N. Alem, General Arenales, General Pinto, Lincoln, Arrecifes, Junín, General Viamonte, Chacabuco, Rojas, Pergamino y Salto.  </t>
  </si>
  <si>
    <t>Rojas y Pergamino (M. H. Alfonzo)</t>
  </si>
  <si>
    <t>Bragado, General Viamonte, Alberti y Junín.</t>
  </si>
  <si>
    <t>Campana, Exaltación de la Cruz y Zárate.</t>
  </si>
  <si>
    <t>Campana, Exaltación de la Cruz, Zárate, Luján, Baradero, San Pedro, San Antonio de Areco, Arrecifes, Mercedes, Navarro, Capitán Sarmiento, Carmen de Areco, Salto, San Andrés de Giles y Pergamino.</t>
  </si>
  <si>
    <t>Baradero, San Pedro, San Nicolás, Ramallo, Zárate y Campana.</t>
  </si>
  <si>
    <t>San Antonio de Areco, Campana, Luján y Exaltación de la Cruz.</t>
  </si>
  <si>
    <t>Campana, Luján y Exaltación de la Cruz.</t>
  </si>
  <si>
    <t>Campana y Exaltación de la Cruz.</t>
  </si>
  <si>
    <t>Lincoln, General Arenales, General Pinto, Junín, L.N. Alem, General Viamonte, Salto y Chacabuco.</t>
  </si>
  <si>
    <t xml:space="preserve"> L.N. Alem, General Arenales, General Pinto, Lincoln, Junín y General Viamonte.  </t>
  </si>
  <si>
    <t xml:space="preserve">Lincoln, L.N. Alem, General Arenales, General Pinto, Junin, General Viamonte, Salto y Chacabuco. </t>
  </si>
  <si>
    <t xml:space="preserve">San Andrés de Giles, Mercedes, Navarro y Luján.  </t>
  </si>
  <si>
    <t xml:space="preserve">San Andrés de Giles, San Antonio de Areco, Carmen de Areco, Mercedes, Navarro y Luján.  </t>
  </si>
  <si>
    <t xml:space="preserve">Mercedes, Navarro, San Andrés de Giles, Luján, Chivilcoy y Suipacha.  </t>
  </si>
  <si>
    <t xml:space="preserve">San Andrés de Giles, San Antonio de Areco, Mercedes, Navarro y Luján.  </t>
  </si>
  <si>
    <t>Lobos, Navarro, Roque Perez, Saladillo, Tapalqué, Azul, Las Flores, Rauch, Pila, Gral. Belgrano, Chascomús y Brandsen.</t>
  </si>
  <si>
    <t>San Nicolás y Ramallo.</t>
  </si>
  <si>
    <t>25 de Mayo, Chivilcoy, Navarro, Bragado y 9 de Julio.</t>
  </si>
  <si>
    <t>Adolfo Alsina, Trenque Lauquen, Tres Lomas, Salliqueló, Pellegrini, Guamini .</t>
  </si>
  <si>
    <t xml:space="preserve">Colón, L.N. Alem, General Arenales, Junin, General Viamonte, Arrecifes, Ramallo, San Nicolás y Pergamino. </t>
  </si>
  <si>
    <t xml:space="preserve">Arrecifes, San Nicolás, Ramallo y Pergamino.  </t>
  </si>
  <si>
    <t>Lobos, Monte, Brandsen, Navarro, Roque Pérez, Suipacha, Mercedes, Luján y San Andrés de Giles.</t>
  </si>
  <si>
    <t>Mercedes, Suipacha, Navarro, Luján y San Andrés de Giles.</t>
  </si>
  <si>
    <t>Lobos, Navarro, Monte y Brandsen.</t>
  </si>
  <si>
    <t>Adolfo Alsina, Trenque Lauquen, Tres Lomas, Salliqueló, Pellegrini, Guamini, Florentino Ameghino, Carlos Tejedor y Rivadavia.</t>
  </si>
  <si>
    <t>Lincoln, Pehuajo, General Pinto, General Arenales, L.N Alem y Junín.</t>
  </si>
  <si>
    <t>Lincoln, Pehuajo, General Pinto, General Arenales, General Villegas, Carlos Tejedor, Rivadavia, Florentino Ameghino, L.N Alem y Junín.</t>
  </si>
  <si>
    <t>Hipólito Yrigoyen, Pehuajó, Bolívar y Daireaux.</t>
  </si>
  <si>
    <t>Carlos Casares, Lincoln y Carlos Tejedor.</t>
  </si>
  <si>
    <t>Roque Pérez, Lobos, Saladillo y Navarro.</t>
  </si>
  <si>
    <t xml:space="preserve">L.N. Alem, General Arenales, General Pinto, Lincoln, Junin y General Viamonte.  </t>
  </si>
  <si>
    <t xml:space="preserve">Chivilcoy, 25 de Mayo,Mercedes, Navarro, Alberti, Chacabuco y Suipacha.  </t>
  </si>
  <si>
    <t xml:space="preserve">Mercedes, Navarro, San Andres de Giles, Lujan, Chivilcoy y Suipacha.  </t>
  </si>
  <si>
    <t>Lincoln, Pehuajo, General Pinto, Trenque Lauquen, General Arenales, General Villegas, Carlos Tejedor, Tres Lomas, Pellegrini, Rivadavia, Florentino Ameghino, L.N Alem y Junín.</t>
  </si>
  <si>
    <t>San Antonio de Areco, Arrecifes, Capitán Sarmiento, Carmen de Areco, Salto, San Andrés de Giles, Mercedes, Navarro, Luján y Pergamino.</t>
  </si>
  <si>
    <t>Arrecifes, Capitán Sarmiento, Carmen de Areco, Salto y Pergamino.</t>
  </si>
  <si>
    <t>Arrecifes, Salto y Pergamino.</t>
  </si>
  <si>
    <t>Bragado, Alberti, Chivilcoy, Suipacha, Mercedes, Navarro, 25 de Mayo, 9 de Julio, Carlos Casares, Lincoln, Gral. Pinto, General Viamonte, L.N.Alem, General Arenales, Junín, Rojas, Chacabuco y Salto.</t>
  </si>
  <si>
    <t>9 de Julio, Carlos Casares, Carlos Tejedor y Lincoln.</t>
  </si>
  <si>
    <t>9 de Julio</t>
  </si>
  <si>
    <t>Lobos, Roque Pérez, Saladillo, Navarro, General Las Heras y Luján.</t>
  </si>
  <si>
    <t>Colón.</t>
  </si>
  <si>
    <t>Monte, Lobos y General Belgrano.</t>
  </si>
  <si>
    <t>Hipólito Yrigoyen, Pehuajo, Bolivar y Daireaux.</t>
  </si>
  <si>
    <t>Junín, General Arenales, General Viamonte, Lincoln y L.N. Alem.</t>
  </si>
  <si>
    <t>Campana, Exaltación de la Cruz, Zarate, Luján, Baradero, San Pedro, San Antonio de Areco, Arrecifes, Capitan Sarmiento, Carmen de Areco, Salto, San Andrés de Giles, Mercedes, Navarro y Pergamino.</t>
  </si>
  <si>
    <t>ET Monte: Ampliación a la capacidad de transformación mediante la el reemplazo de los transformadores de 15/5/10 y 15/10/15 MVA - 132/33/13,2 kV existentes por dos nuevas máquinas de 30/20/30 MVA.</t>
  </si>
  <si>
    <t>ET Henderson: Ampliación a la capacidad de transformación mediante la el reemplazo del transformador T5HE de 15/10/15 MVA - 132/33/13,2 kV existente por una nueva máquina de 30/30/10 MVA y una nueva reactancia limitadora de cortocircuito de 33 kV</t>
  </si>
  <si>
    <t>ET IMSA: Ampliación a la capacidad de transformación mediante la instalación de un 2° transformador de 15/10/15 MVA - 132/33/13.2 kV, construcción de barras en 33 kV y acoplamiento longitudinal y segunda barra 13.2 kV con interruptor de acoplamiento. Además contempla el completamiento de los dos (2) campos de entrada de líneas existentes en 132 kV, la construcción de un campo exterior de 33 kV para el transformador de potencia existente (T1IM) y la incorporación de nuevas celdas para 13,2 y 33 kV.</t>
  </si>
  <si>
    <t>ET Lincoln: Ampliación a la capacidad de transformación mediante la el reemplazo de los transformadores de 15/10/15 MVA - 132/33/13,2 kV existentes por dos nuevas máquinas de 30/20/30 MVA  y obras de adecuación asociadas.</t>
  </si>
  <si>
    <t>ET Rojas: Ampliación a la capacidad de transformación mediante el reemplazo del transformador T1RF de 15/10/15 MVA - 132/33/13,2 kV existente por una nueva máquina de 30/20/30 MVA y obras de adecuación asociadas.</t>
  </si>
  <si>
    <t>ET Bragado: Ampliación a la capacidad de transformación mediante la el reemplazo del transformador T5BG de 10/10/3,3 MVA - 132/33/13,2 kV existente por una nueva máquina de 30/30/20 MVA y adecuaciones.</t>
  </si>
  <si>
    <t>ET Nueva Campana: Ampliación a la capacidad de transformación mediante la instalación de un 3° transformador de 300 MVA - 500/132 kV</t>
  </si>
  <si>
    <t>Nueva LAT 132 kV Nueva S.A. de Areco II - Los Cardales de aproximadamente 56 km de longitud, más campo de salida de línea en 132 kV en ET S.A. de Areco II</t>
  </si>
  <si>
    <t>Nueva LAT 132 kV S.A. de Areco - S.A. de Giles de aproximadamente unos 24 km de longitud, más campo de salida de línea en 132 kV en ET S.A. de Areco</t>
  </si>
  <si>
    <t>Lincoln, General Pinto, Junín, General Arenales, Carlos Tejedor, Carlos Casares y  L.N. Alem.</t>
  </si>
  <si>
    <t xml:space="preserve">Chivilcoy, 25 de Mayo, Mercedes, Navarro (Villa Moll) , Alberti, Chacabuco y Suipacha. </t>
  </si>
  <si>
    <t>Campo salida de línea 132 kV en ET Henderson</t>
  </si>
  <si>
    <t>Campo salida de línea 132 kV en ET T. Lauquen</t>
  </si>
  <si>
    <t>Nueva ET Junín 500/132 kV y campo salida de línea 132 kV en ET T. Lauquen</t>
  </si>
  <si>
    <t>A). Permanencia de la Central Térmica "INEFICIENTE" instalada en la localidad de Junín dentro del marco "Generación Distribuida" (22,4 MW);  y las unidades generadoras instaladas por EDEN en las localidades de Vedia por 2,2 MW y Gral. Arenales por 1,1 MW; B). Demanda no abastecida, es decir que se producirán importantes restricciones en el suministro de energía eléctrica; C). No radicación de nuevas demandas, con el consecuente detrioro de las economías regionales.</t>
  </si>
  <si>
    <t>A). Restricciones de demanda debido a la indisponibilidad del transformador T3CJ y T4CJ; B). No radicación de nuevas demandas, con el consecuente detrioro de las economías regionales. C). Permanencia de generación térmica "INEFICIENTE" instalada en la localidad de Moctezuma por 5 MW.</t>
  </si>
  <si>
    <t>LAT 132 kV Henderson - Salliqueló y campo salida de línea 132 kV en ET Henderson</t>
  </si>
  <si>
    <t>AÑO E/S</t>
  </si>
  <si>
    <t>Ampliación ET reemplazando el actual transformador T1MR de 15/10/15 MVA por otro de 30/20/30 MVA (transformador adquirido)</t>
  </si>
  <si>
    <t>Ampliación ET reemplazando el actual transformador T2MR de 15/10/15 MVA por otro de 30/20/30 MVA (transformador adquirido)</t>
  </si>
  <si>
    <t>Nueva línea 132 kV DT 5 kM subterránea + 14 kM aérea - Instalación sistema de celdas GIS de 132 kV en ET Ruta 2 (cable subt. 132 kV adquirido)</t>
  </si>
  <si>
    <t>En proceso de licitación por DE</t>
  </si>
  <si>
    <t>Repotenciación ET Cnel Suárez TRANSBA 132/33/13.2 kV de 2x15/10/15 MVA a 2 x 30/30/20 MVA (TR adquirido)</t>
  </si>
  <si>
    <t>NUEVA ET BOLIVAR 132/33/13,2 KV - 2 X 30 MVA    EN CONSTRUCCION CON OTROS FONDOS (Solo contempla el monto de los repuestos)</t>
  </si>
  <si>
    <t>DT 132 KV DESDE ET BOLIVAR HASTA SECCIONAMIENTO LAT HENDERSON - OLAVARRIA     EN CONSTRUCCION CON OTROS FONDOS  (Solo contempla el monto de los repuestos)</t>
  </si>
  <si>
    <t>Corredor Cierre Anillo Norte 132 kV: Nueva ET S.A. de Areco II de 132 kV 1x132/33/13,2 kV - 30/20/30 MVA</t>
  </si>
  <si>
    <t>Res. 210/2013</t>
  </si>
  <si>
    <t>Otorgada</t>
  </si>
  <si>
    <t>Res. 29/2015</t>
  </si>
  <si>
    <t>Res. ENRE N° 109/2015</t>
  </si>
  <si>
    <t>Obras en ejecución (2016-2018)</t>
  </si>
  <si>
    <t>Obras fecha E/S 2017</t>
  </si>
  <si>
    <t>Obras fecha E/S 2019</t>
  </si>
  <si>
    <t>Obras fecha E/S 2018</t>
  </si>
  <si>
    <t>ET 25 DE MAYO 500 kV y VINCULACIÓN 132 kV</t>
  </si>
  <si>
    <r>
      <t>Sup. Servida en km</t>
    </r>
    <r>
      <rPr>
        <b/>
        <vertAlign val="superscript"/>
        <sz val="11"/>
        <rFont val="Calibri"/>
        <family val="2"/>
        <scheme val="minor"/>
      </rPr>
      <t>2</t>
    </r>
  </si>
  <si>
    <t>AÑO 2017</t>
  </si>
  <si>
    <t>AÑO 2018</t>
  </si>
  <si>
    <t>AÑO 2019</t>
  </si>
  <si>
    <t>AÑO 2020</t>
  </si>
  <si>
    <t>AÑO 2021</t>
  </si>
  <si>
    <t>AÑO 2022</t>
  </si>
  <si>
    <t>AÑO 2023</t>
  </si>
  <si>
    <t>AÑO 2024</t>
  </si>
  <si>
    <t>Obras fecha E/S 2020</t>
  </si>
  <si>
    <t>Obras fecha E/S 2021</t>
  </si>
  <si>
    <t>Obras fecha E/S 2022</t>
  </si>
  <si>
    <t>Obras fecha E/S 2023</t>
  </si>
  <si>
    <t>Obras fecha E/S 2024</t>
  </si>
  <si>
    <t>R29/2015</t>
  </si>
  <si>
    <t>Restricion de la demanda e imposibilidad de abastecer el crecimiento de la zona norte de la ciudad de La Plata</t>
  </si>
  <si>
    <t>Nueva ET Ensenada 132/13,2 kV</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</si>
</sst>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quot;$&quot;\ * #,##0.00_ ;_ &quot;$&quot;\ * \-#,##0.00_ ;_ &quot;$&quot;\ * &quot;-&quot;??_ ;_ @_ "/>
    <numFmt numFmtId="164" formatCode="#,##0.00_ ;\-#,##0.00\ "/>
    <numFmt numFmtId="165" formatCode="_ [$USD]\ * #,##0.00_ ;_ [$USD]\ * \-#,##0.00_ ;_ [$USD]\ * &quot;-&quot;??_ ;_ @_ "/>
  </numFmts>
  <fonts count="32" x14ac:knownFonts="1">
    <font>
      <sz val="11"/>
      <color theme="1"/>
      <name val="Calibri"/>
      <family val="2"/>
      <scheme val="minor"/>
    </font>
    <font>
      <sz val="11"/>
      <color theme="1"/>
      <name val="Calibri"/>
      <family val="2"/>
      <scheme val="minor"/>
    </font>
    <font>
      <b/>
      <sz val="11"/>
      <color theme="1"/>
      <name val="Calibri"/>
      <family val="2"/>
      <scheme val="minor"/>
    </font>
    <font>
      <sz val="12"/>
      <name val="Verdana"/>
      <family val="2"/>
    </font>
    <font>
      <b/>
      <sz val="12"/>
      <color indexed="16"/>
      <name val="Verdana"/>
      <family val="2"/>
    </font>
    <font>
      <b/>
      <sz val="12"/>
      <color indexed="9"/>
      <name val="Verdana"/>
      <family val="2"/>
    </font>
    <font>
      <b/>
      <sz val="12"/>
      <name val="Verdana"/>
      <family val="2"/>
    </font>
    <font>
      <strike/>
      <sz val="12"/>
      <name val="Verdana"/>
      <family val="2"/>
    </font>
    <font>
      <sz val="12"/>
      <color indexed="8"/>
      <name val="Verdana"/>
      <family val="2"/>
    </font>
    <font>
      <vertAlign val="superscript"/>
      <sz val="12"/>
      <name val="Verdana"/>
      <family val="2"/>
    </font>
    <font>
      <sz val="10"/>
      <color theme="1"/>
      <name val="Calibri"/>
      <family val="2"/>
      <scheme val="minor"/>
    </font>
    <font>
      <b/>
      <sz val="10"/>
      <color theme="1"/>
      <name val="Calibri"/>
      <family val="2"/>
      <scheme val="minor"/>
    </font>
    <font>
      <sz val="9"/>
      <color indexed="81"/>
      <name val="Tahoma"/>
      <family val="2"/>
    </font>
    <font>
      <b/>
      <sz val="11"/>
      <color indexed="81"/>
      <name val="Tahoma"/>
      <family val="2"/>
    </font>
    <font>
      <b/>
      <sz val="18"/>
      <name val="Verdana"/>
      <family val="2"/>
    </font>
    <font>
      <b/>
      <sz val="14"/>
      <name val="Verdana"/>
      <family val="2"/>
    </font>
    <font>
      <sz val="11"/>
      <color indexed="81"/>
      <name val="Tahoma"/>
      <family val="2"/>
    </font>
    <font>
      <vertAlign val="superscript"/>
      <sz val="11"/>
      <color theme="1"/>
      <name val="Calibri"/>
      <family val="2"/>
      <scheme val="minor"/>
    </font>
    <font>
      <b/>
      <vertAlign val="superscript"/>
      <sz val="11"/>
      <color theme="1"/>
      <name val="Calibri"/>
      <family val="2"/>
      <scheme val="minor"/>
    </font>
    <font>
      <b/>
      <sz val="10"/>
      <color indexed="10"/>
      <name val="Tahoma"/>
      <family val="2"/>
    </font>
    <font>
      <sz val="11"/>
      <name val="Calibri"/>
      <family val="2"/>
      <scheme val="minor"/>
    </font>
    <font>
      <b/>
      <sz val="12"/>
      <color rgb="FFFF0000"/>
      <name val="Verdana"/>
      <family val="2"/>
    </font>
    <font>
      <b/>
      <sz val="9"/>
      <color indexed="81"/>
      <name val="Tahoma"/>
      <family val="2"/>
    </font>
    <font>
      <sz val="11"/>
      <color rgb="FFFF0000"/>
      <name val="Calibri"/>
      <family val="2"/>
      <scheme val="minor"/>
    </font>
    <font>
      <b/>
      <sz val="11"/>
      <color rgb="FFFF0000"/>
      <name val="Calibri"/>
      <family val="2"/>
      <scheme val="minor"/>
    </font>
    <font>
      <b/>
      <sz val="11"/>
      <name val="Calibri"/>
      <family val="2"/>
      <scheme val="minor"/>
    </font>
    <font>
      <sz val="10"/>
      <color indexed="10"/>
      <name val="Tahoma"/>
      <family val="2"/>
    </font>
    <font>
      <b/>
      <vertAlign val="superscript"/>
      <sz val="11"/>
      <name val="Calibri"/>
      <family val="2"/>
      <scheme val="minor"/>
    </font>
    <font>
      <b/>
      <sz val="14"/>
      <name val="Calibri"/>
      <family val="2"/>
      <scheme val="minor"/>
    </font>
    <font>
      <b/>
      <sz val="14"/>
      <color theme="1"/>
      <name val="Calibri"/>
      <family val="2"/>
      <scheme val="minor"/>
    </font>
    <font>
      <b/>
      <sz val="14"/>
      <color rgb="FF1F14F8"/>
      <name val="Calibri"/>
      <family val="2"/>
      <scheme val="minor"/>
    </font>
    <font>
      <sz val="14"/>
      <color theme="1"/>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indexed="18"/>
        <bgColor indexed="64"/>
      </patternFill>
    </fill>
    <fill>
      <patternFill patternType="solid">
        <fgColor theme="9"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FF66"/>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4"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00">
    <xf numFmtId="0" fontId="0" fillId="0" borderId="0" xfId="0"/>
    <xf numFmtId="0" fontId="0" fillId="0" borderId="0" xfId="0" applyAlignment="1">
      <alignment horizontal="center" vertical="center" wrapText="1"/>
    </xf>
    <xf numFmtId="0" fontId="0" fillId="0" borderId="0" xfId="0" applyBorder="1"/>
    <xf numFmtId="0" fontId="2" fillId="2" borderId="0" xfId="0" applyFont="1" applyFill="1" applyAlignment="1">
      <alignment horizontal="center" vertical="center"/>
    </xf>
    <xf numFmtId="0" fontId="0" fillId="0" borderId="0" xfId="0" applyAlignment="1">
      <alignment horizontal="left" vertical="center"/>
    </xf>
    <xf numFmtId="0" fontId="0" fillId="0" borderId="0" xfId="0" applyBorder="1" applyAlignment="1">
      <alignment horizontal="left" vertical="center"/>
    </xf>
    <xf numFmtId="0" fontId="2" fillId="2" borderId="5" xfId="0" applyFont="1" applyFill="1" applyBorder="1" applyAlignment="1">
      <alignment vertical="center"/>
    </xf>
    <xf numFmtId="0" fontId="2" fillId="2" borderId="7" xfId="0" applyFont="1" applyFill="1" applyBorder="1" applyAlignment="1">
      <alignment vertical="center"/>
    </xf>
    <xf numFmtId="0" fontId="2" fillId="2" borderId="6" xfId="0" applyFont="1" applyFill="1" applyBorder="1" applyAlignment="1">
      <alignment vertical="center"/>
    </xf>
    <xf numFmtId="0" fontId="0" fillId="0" borderId="0" xfId="0" applyBorder="1" applyAlignment="1">
      <alignment horizontal="center" vertical="center" wrapText="1"/>
    </xf>
    <xf numFmtId="0" fontId="2" fillId="2" borderId="2" xfId="0" applyFont="1" applyFill="1" applyBorder="1" applyAlignment="1">
      <alignment horizontal="center" vertical="center" wrapText="1"/>
    </xf>
    <xf numFmtId="0" fontId="3" fillId="0" borderId="0" xfId="0" applyFont="1"/>
    <xf numFmtId="0" fontId="4" fillId="0" borderId="0" xfId="0" applyFont="1" applyFill="1" applyAlignment="1">
      <alignment horizontal="centerContinuous"/>
    </xf>
    <xf numFmtId="0" fontId="3" fillId="0" borderId="0" xfId="0" applyFont="1" applyAlignment="1">
      <alignment horizontal="centerContinuous"/>
    </xf>
    <xf numFmtId="0" fontId="5" fillId="4" borderId="0" xfId="0" applyFont="1" applyFill="1" applyAlignment="1">
      <alignment horizontal="center" vertical="center"/>
    </xf>
    <xf numFmtId="0" fontId="6" fillId="0" borderId="0" xfId="0" applyFont="1"/>
    <xf numFmtId="0" fontId="3" fillId="0" borderId="0" xfId="0" applyFont="1" applyAlignment="1">
      <alignment vertical="center"/>
    </xf>
    <xf numFmtId="0" fontId="3" fillId="0" borderId="0" xfId="0" applyFont="1" applyAlignment="1">
      <alignment horizontal="center" vertical="center"/>
    </xf>
    <xf numFmtId="0" fontId="7"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right"/>
    </xf>
    <xf numFmtId="0" fontId="6" fillId="0" borderId="0" xfId="0" applyFont="1" applyAlignment="1">
      <alignment horizontal="center"/>
    </xf>
    <xf numFmtId="0" fontId="8" fillId="0" borderId="0" xfId="0" applyFont="1" applyAlignment="1">
      <alignment horizontal="center"/>
    </xf>
    <xf numFmtId="9" fontId="3" fillId="0" borderId="0" xfId="2" applyNumberFormat="1" applyFont="1" applyAlignment="1">
      <alignment horizontal="center" vertical="center"/>
    </xf>
    <xf numFmtId="9" fontId="3" fillId="0" borderId="0" xfId="2" applyFont="1" applyAlignment="1">
      <alignment vertical="center"/>
    </xf>
    <xf numFmtId="9" fontId="3" fillId="0" borderId="0" xfId="2" applyFont="1" applyAlignment="1">
      <alignment horizontal="center" vertical="center"/>
    </xf>
    <xf numFmtId="0" fontId="3" fillId="0" borderId="0" xfId="0" applyFont="1" applyAlignment="1">
      <alignment horizontal="left" vertical="center"/>
    </xf>
    <xf numFmtId="0" fontId="3" fillId="0" borderId="0" xfId="0" applyFont="1" applyAlignment="1">
      <alignment vertical="center" wrapText="1"/>
    </xf>
    <xf numFmtId="9" fontId="6" fillId="0" borderId="0" xfId="2" applyFont="1" applyAlignment="1">
      <alignment horizontal="center"/>
    </xf>
    <xf numFmtId="0" fontId="7" fillId="0" borderId="0" xfId="0" applyFont="1" applyAlignment="1">
      <alignment vertical="center" wrapText="1"/>
    </xf>
    <xf numFmtId="0" fontId="0" fillId="0" borderId="0" xfId="0" applyFill="1" applyBorder="1"/>
    <xf numFmtId="44" fontId="0" fillId="0" borderId="0" xfId="1" applyFont="1" applyFill="1"/>
    <xf numFmtId="0" fontId="0" fillId="0" borderId="0" xfId="0" applyFill="1"/>
    <xf numFmtId="9" fontId="2" fillId="2" borderId="3" xfId="2" applyFont="1" applyFill="1" applyBorder="1" applyAlignment="1">
      <alignment horizontal="center" vertical="center" wrapText="1"/>
    </xf>
    <xf numFmtId="164" fontId="0" fillId="0" borderId="1" xfId="1" applyNumberFormat="1" applyFont="1" applyFill="1" applyBorder="1" applyAlignment="1">
      <alignment horizontal="center" vertical="center" wrapText="1"/>
    </xf>
    <xf numFmtId="0" fontId="10" fillId="0" borderId="0" xfId="0" applyFont="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wrapText="1"/>
    </xf>
    <xf numFmtId="0" fontId="3" fillId="0" borderId="0" xfId="0" applyFont="1" applyFill="1" applyAlignment="1">
      <alignment horizontal="center" vertical="center"/>
    </xf>
    <xf numFmtId="0" fontId="2" fillId="0" borderId="0" xfId="0" applyFont="1" applyAlignment="1">
      <alignment horizontal="center" vertical="center" wrapText="1"/>
    </xf>
    <xf numFmtId="0" fontId="2" fillId="0" borderId="0" xfId="0" applyFont="1" applyAlignment="1">
      <alignment vertical="center" wrapText="1"/>
    </xf>
    <xf numFmtId="0" fontId="0" fillId="0" borderId="0" xfId="0" applyFont="1" applyAlignment="1">
      <alignment horizontal="center" vertical="center" wrapText="1"/>
    </xf>
    <xf numFmtId="0" fontId="2" fillId="0" borderId="0" xfId="0" applyFont="1" applyAlignment="1">
      <alignment horizontal="left" vertical="center" wrapText="1"/>
    </xf>
    <xf numFmtId="0" fontId="0" fillId="0" borderId="0" xfId="0" applyFont="1" applyAlignment="1">
      <alignment horizontal="left" vertical="center" wrapText="1"/>
    </xf>
    <xf numFmtId="165" fontId="1" fillId="0" borderId="0" xfId="1" applyNumberFormat="1" applyFont="1" applyAlignment="1">
      <alignment horizontal="center" vertical="center" wrapText="1"/>
    </xf>
    <xf numFmtId="165" fontId="2" fillId="0" borderId="0" xfId="1" applyNumberFormat="1" applyFont="1" applyAlignment="1">
      <alignment horizontal="center" vertical="center" wrapText="1"/>
    </xf>
    <xf numFmtId="165" fontId="2" fillId="0" borderId="0" xfId="0" applyNumberFormat="1" applyFont="1" applyAlignment="1">
      <alignment horizontal="center" vertical="center" wrapText="1"/>
    </xf>
    <xf numFmtId="0" fontId="6" fillId="0" borderId="0" xfId="0" applyFont="1" applyAlignment="1">
      <alignment horizontal="center" vertical="center"/>
    </xf>
    <xf numFmtId="0" fontId="2" fillId="0" borderId="1" xfId="0" applyFont="1" applyBorder="1" applyAlignment="1">
      <alignment horizontal="center" vertical="center" wrapText="1"/>
    </xf>
    <xf numFmtId="0" fontId="0" fillId="0" borderId="1" xfId="0" applyFont="1" applyBorder="1" applyAlignment="1">
      <alignment horizontal="left" vertical="center" wrapText="1"/>
    </xf>
    <xf numFmtId="165" fontId="1" fillId="0" borderId="1" xfId="1" applyNumberFormat="1" applyFont="1" applyBorder="1" applyAlignment="1">
      <alignment horizontal="center" vertical="center" wrapText="1"/>
    </xf>
    <xf numFmtId="0" fontId="11" fillId="0" borderId="0" xfId="0" applyFont="1" applyAlignment="1">
      <alignment horizontal="left" vertical="center"/>
    </xf>
    <xf numFmtId="165" fontId="11" fillId="0" borderId="0" xfId="1" applyNumberFormat="1" applyFont="1" applyAlignment="1">
      <alignment horizontal="left" vertical="center"/>
    </xf>
    <xf numFmtId="164" fontId="0" fillId="5" borderId="1" xfId="1" applyNumberFormat="1" applyFont="1" applyFill="1" applyBorder="1" applyAlignment="1" applyProtection="1">
      <alignment horizontal="center" vertical="center" wrapText="1"/>
      <protection locked="0"/>
    </xf>
    <xf numFmtId="0" fontId="0" fillId="5" borderId="1" xfId="0" applyFill="1" applyBorder="1" applyAlignment="1" applyProtection="1">
      <alignment horizontal="center" vertical="center" wrapText="1"/>
      <protection locked="0"/>
    </xf>
    <xf numFmtId="0" fontId="0" fillId="5" borderId="1" xfId="0" applyFill="1" applyBorder="1" applyAlignment="1" applyProtection="1">
      <alignment horizontal="left" vertical="center" wrapText="1"/>
      <protection locked="0"/>
    </xf>
    <xf numFmtId="44" fontId="0" fillId="5" borderId="1" xfId="1" applyFont="1" applyFill="1" applyBorder="1" applyAlignment="1" applyProtection="1">
      <alignment horizontal="center" vertical="center" wrapText="1"/>
      <protection locked="0"/>
    </xf>
    <xf numFmtId="17" fontId="0" fillId="5" borderId="1" xfId="0" applyNumberFormat="1" applyFill="1" applyBorder="1" applyAlignment="1" applyProtection="1">
      <alignment horizontal="center" vertical="center" wrapText="1"/>
      <protection locked="0"/>
    </xf>
    <xf numFmtId="2" fontId="0" fillId="3" borderId="1" xfId="0" applyNumberFormat="1" applyFill="1" applyBorder="1" applyAlignment="1">
      <alignment horizontal="center" vertical="center" wrapText="1"/>
    </xf>
    <xf numFmtId="14" fontId="11" fillId="0" borderId="0" xfId="0" applyNumberFormat="1" applyFont="1" applyAlignment="1">
      <alignment horizontal="center" vertical="center" wrapText="1"/>
    </xf>
    <xf numFmtId="0" fontId="10" fillId="0" borderId="0" xfId="0" applyFont="1" applyAlignment="1">
      <alignment horizontal="left" vertical="center"/>
    </xf>
    <xf numFmtId="44" fontId="10" fillId="0" borderId="0" xfId="1" applyFont="1" applyAlignment="1">
      <alignment horizontal="center" vertical="center" wrapText="1"/>
    </xf>
    <xf numFmtId="44" fontId="20" fillId="5" borderId="1" xfId="1" applyFont="1" applyFill="1" applyBorder="1" applyAlignment="1" applyProtection="1">
      <alignment vertical="center" wrapText="1"/>
      <protection locked="0"/>
    </xf>
    <xf numFmtId="44" fontId="0" fillId="5" borderId="1" xfId="1" applyFont="1" applyFill="1" applyBorder="1" applyAlignment="1" applyProtection="1">
      <alignment horizontal="left" vertical="center" wrapText="1"/>
      <protection locked="0"/>
    </xf>
    <xf numFmtId="0" fontId="6" fillId="0" borderId="0" xfId="0" applyFont="1" applyAlignment="1">
      <alignment horizontal="center"/>
    </xf>
    <xf numFmtId="9" fontId="21" fillId="0" borderId="0" xfId="2" applyFont="1" applyAlignment="1">
      <alignment vertical="center"/>
    </xf>
    <xf numFmtId="10" fontId="3" fillId="0" borderId="0" xfId="2" applyNumberFormat="1" applyFont="1" applyAlignment="1">
      <alignment vertical="center"/>
    </xf>
    <xf numFmtId="0" fontId="11" fillId="0" borderId="0" xfId="0" applyFont="1" applyAlignment="1">
      <alignment horizontal="center" vertical="center" wrapText="1"/>
    </xf>
    <xf numFmtId="1" fontId="0" fillId="5" borderId="1" xfId="0" applyNumberFormat="1" applyFill="1" applyBorder="1" applyAlignment="1" applyProtection="1">
      <alignment horizontal="center" vertical="center" wrapText="1"/>
      <protection locked="0"/>
    </xf>
    <xf numFmtId="44" fontId="20" fillId="5" borderId="1" xfId="1" applyFont="1" applyFill="1" applyBorder="1" applyAlignment="1" applyProtection="1">
      <alignment horizontal="center" vertical="center" wrapText="1"/>
      <protection locked="0"/>
    </xf>
    <xf numFmtId="0" fontId="2" fillId="2" borderId="2" xfId="0" applyFont="1" applyFill="1" applyBorder="1" applyAlignment="1">
      <alignment horizontal="center" vertical="center" wrapText="1"/>
    </xf>
    <xf numFmtId="0" fontId="24" fillId="2" borderId="6" xfId="0" applyFont="1" applyFill="1" applyBorder="1" applyAlignment="1">
      <alignment vertical="center"/>
    </xf>
    <xf numFmtId="0" fontId="24" fillId="2" borderId="7" xfId="0" applyFont="1" applyFill="1" applyBorder="1" applyAlignment="1">
      <alignment vertical="center"/>
    </xf>
    <xf numFmtId="0" fontId="23" fillId="0" borderId="0" xfId="0" applyFont="1" applyAlignment="1">
      <alignment horizontal="center" vertical="center" wrapText="1"/>
    </xf>
    <xf numFmtId="0" fontId="23" fillId="0" borderId="0" xfId="0" applyFont="1" applyAlignment="1">
      <alignment horizontal="left" vertical="center"/>
    </xf>
    <xf numFmtId="0" fontId="0" fillId="6" borderId="0" xfId="0" applyFill="1"/>
    <xf numFmtId="0" fontId="0" fillId="6" borderId="0" xfId="0" applyFill="1" applyAlignment="1">
      <alignment horizontal="left" vertical="center"/>
    </xf>
    <xf numFmtId="165" fontId="0" fillId="0" borderId="0" xfId="0" applyNumberFormat="1" applyFont="1" applyAlignment="1">
      <alignment horizontal="center" vertical="center" wrapText="1"/>
    </xf>
    <xf numFmtId="44" fontId="0" fillId="0" borderId="0" xfId="0" applyNumberFormat="1" applyFont="1" applyAlignment="1">
      <alignment horizontal="center" vertical="center" wrapText="1"/>
    </xf>
    <xf numFmtId="0" fontId="0" fillId="7" borderId="5" xfId="0" applyFill="1" applyBorder="1" applyAlignment="1" applyProtection="1">
      <alignment horizontal="center" vertical="center" wrapText="1"/>
      <protection locked="0"/>
    </xf>
    <xf numFmtId="0" fontId="0" fillId="7" borderId="6" xfId="0" applyFill="1" applyBorder="1" applyAlignment="1" applyProtection="1">
      <alignment horizontal="center" vertical="center" wrapText="1"/>
      <protection locked="0"/>
    </xf>
    <xf numFmtId="0" fontId="0" fillId="7" borderId="6" xfId="0" applyFill="1" applyBorder="1" applyAlignment="1" applyProtection="1">
      <alignment horizontal="left" vertical="center" wrapText="1"/>
      <protection locked="0"/>
    </xf>
    <xf numFmtId="44" fontId="0" fillId="7" borderId="6" xfId="1" applyFont="1" applyFill="1" applyBorder="1" applyAlignment="1" applyProtection="1">
      <alignment horizontal="center" vertical="center" wrapText="1"/>
      <protection locked="0"/>
    </xf>
    <xf numFmtId="44" fontId="0" fillId="7" borderId="6" xfId="1" applyFont="1" applyFill="1" applyBorder="1" applyAlignment="1" applyProtection="1">
      <alignment horizontal="left" vertical="center" wrapText="1"/>
      <protection locked="0"/>
    </xf>
    <xf numFmtId="164" fontId="0" fillId="7" borderId="6" xfId="1" applyNumberFormat="1" applyFont="1" applyFill="1" applyBorder="1" applyAlignment="1" applyProtection="1">
      <alignment horizontal="center" vertical="center" wrapText="1"/>
      <protection locked="0"/>
    </xf>
    <xf numFmtId="164" fontId="0" fillId="7" borderId="6" xfId="1" applyNumberFormat="1" applyFont="1" applyFill="1" applyBorder="1" applyAlignment="1">
      <alignment horizontal="center" vertical="center" wrapText="1"/>
    </xf>
    <xf numFmtId="2" fontId="0" fillId="7" borderId="6" xfId="0" applyNumberFormat="1" applyFill="1" applyBorder="1" applyAlignment="1">
      <alignment horizontal="center" vertical="center" wrapText="1"/>
    </xf>
    <xf numFmtId="1" fontId="0" fillId="7" borderId="6" xfId="0" applyNumberFormat="1" applyFill="1" applyBorder="1" applyAlignment="1" applyProtection="1">
      <alignment horizontal="center" vertical="center" wrapText="1"/>
      <protection locked="0"/>
    </xf>
    <xf numFmtId="17" fontId="0" fillId="7" borderId="6" xfId="0" applyNumberFormat="1" applyFill="1" applyBorder="1" applyAlignment="1" applyProtection="1">
      <alignment horizontal="center" vertical="center" wrapText="1"/>
      <protection locked="0"/>
    </xf>
    <xf numFmtId="0" fontId="0" fillId="7" borderId="7" xfId="0" applyFill="1" applyBorder="1" applyAlignment="1" applyProtection="1">
      <alignment horizontal="left" vertical="center" wrapText="1"/>
      <protection locked="0"/>
    </xf>
    <xf numFmtId="0" fontId="25" fillId="2" borderId="6" xfId="0" applyFont="1" applyFill="1" applyBorder="1" applyAlignment="1">
      <alignment vertical="center"/>
    </xf>
    <xf numFmtId="0" fontId="25" fillId="2" borderId="5" xfId="0" applyFont="1" applyFill="1" applyBorder="1" applyAlignment="1">
      <alignment vertical="center"/>
    </xf>
    <xf numFmtId="0" fontId="25" fillId="2" borderId="7" xfId="0" applyFont="1" applyFill="1" applyBorder="1" applyAlignment="1">
      <alignment vertical="center"/>
    </xf>
    <xf numFmtId="9" fontId="25" fillId="2" borderId="3" xfId="2" applyFont="1" applyFill="1" applyBorder="1" applyAlignment="1">
      <alignment horizontal="center" vertical="center" wrapText="1"/>
    </xf>
    <xf numFmtId="0" fontId="25" fillId="2" borderId="0" xfId="0" applyFont="1" applyFill="1" applyAlignment="1">
      <alignment horizontal="center" vertical="center"/>
    </xf>
    <xf numFmtId="0" fontId="25" fillId="2" borderId="2" xfId="0" applyFont="1" applyFill="1" applyBorder="1" applyAlignment="1">
      <alignment horizontal="center" vertical="center" wrapText="1"/>
    </xf>
    <xf numFmtId="0" fontId="0" fillId="6" borderId="9" xfId="0" applyFill="1" applyBorder="1" applyAlignment="1" applyProtection="1">
      <alignment horizontal="center" vertical="center" wrapText="1"/>
      <protection locked="0"/>
    </xf>
    <xf numFmtId="0" fontId="0" fillId="6" borderId="10" xfId="0" applyFill="1" applyBorder="1" applyAlignment="1" applyProtection="1">
      <alignment horizontal="center" vertical="center" wrapText="1"/>
      <protection locked="0"/>
    </xf>
    <xf numFmtId="0" fontId="0" fillId="6" borderId="10" xfId="0" applyFill="1" applyBorder="1" applyAlignment="1" applyProtection="1">
      <alignment horizontal="left" vertical="center" wrapText="1"/>
      <protection locked="0"/>
    </xf>
    <xf numFmtId="44" fontId="20" fillId="6" borderId="10" xfId="1" applyFont="1" applyFill="1" applyBorder="1" applyAlignment="1" applyProtection="1">
      <alignment vertical="center" wrapText="1"/>
      <protection locked="0"/>
    </xf>
    <xf numFmtId="164" fontId="0" fillId="6" borderId="10" xfId="1" applyNumberFormat="1" applyFont="1" applyFill="1" applyBorder="1" applyAlignment="1" applyProtection="1">
      <alignment horizontal="center" vertical="center" wrapText="1"/>
      <protection locked="0"/>
    </xf>
    <xf numFmtId="164" fontId="0" fillId="6" borderId="10" xfId="1" applyNumberFormat="1" applyFont="1" applyFill="1" applyBorder="1" applyAlignment="1">
      <alignment horizontal="center" vertical="center" wrapText="1"/>
    </xf>
    <xf numFmtId="2" fontId="0" fillId="6" borderId="10" xfId="0" applyNumberFormat="1" applyFill="1" applyBorder="1" applyAlignment="1">
      <alignment horizontal="center" vertical="center" wrapText="1"/>
    </xf>
    <xf numFmtId="1" fontId="0" fillId="6" borderId="10" xfId="0" applyNumberFormat="1" applyFill="1" applyBorder="1" applyAlignment="1" applyProtection="1">
      <alignment horizontal="center" vertical="center" wrapText="1"/>
      <protection locked="0"/>
    </xf>
    <xf numFmtId="17" fontId="0" fillId="6" borderId="10" xfId="0" applyNumberFormat="1" applyFill="1" applyBorder="1" applyAlignment="1" applyProtection="1">
      <alignment horizontal="center" vertical="center" wrapText="1"/>
      <protection locked="0"/>
    </xf>
    <xf numFmtId="0" fontId="0" fillId="6" borderId="11" xfId="0" applyFill="1" applyBorder="1" applyAlignment="1" applyProtection="1">
      <alignment horizontal="left" vertical="center" wrapText="1"/>
      <protection locked="0"/>
    </xf>
    <xf numFmtId="0" fontId="0" fillId="6" borderId="12" xfId="0" applyFill="1" applyBorder="1" applyAlignment="1" applyProtection="1">
      <alignment horizontal="center" vertical="center" wrapText="1"/>
      <protection locked="0"/>
    </xf>
    <xf numFmtId="0" fontId="0" fillId="6" borderId="13" xfId="0" applyFill="1" applyBorder="1" applyAlignment="1" applyProtection="1">
      <alignment horizontal="center" vertical="center" wrapText="1"/>
      <protection locked="0"/>
    </xf>
    <xf numFmtId="0" fontId="0" fillId="6" borderId="13" xfId="0" applyFill="1" applyBorder="1" applyAlignment="1" applyProtection="1">
      <alignment horizontal="left" vertical="center" wrapText="1"/>
      <protection locked="0"/>
    </xf>
    <xf numFmtId="44" fontId="20" fillId="6" borderId="13" xfId="1" applyFont="1" applyFill="1" applyBorder="1" applyAlignment="1" applyProtection="1">
      <alignment vertical="center" wrapText="1"/>
      <protection locked="0"/>
    </xf>
    <xf numFmtId="164" fontId="0" fillId="6" borderId="13" xfId="1" applyNumberFormat="1" applyFont="1" applyFill="1" applyBorder="1" applyAlignment="1" applyProtection="1">
      <alignment horizontal="center" vertical="center" wrapText="1"/>
      <protection locked="0"/>
    </xf>
    <xf numFmtId="164" fontId="0" fillId="6" borderId="13" xfId="1" applyNumberFormat="1" applyFont="1" applyFill="1" applyBorder="1" applyAlignment="1">
      <alignment horizontal="center" vertical="center" wrapText="1"/>
    </xf>
    <xf numFmtId="2" fontId="0" fillId="6" borderId="13" xfId="0" applyNumberFormat="1" applyFill="1" applyBorder="1" applyAlignment="1">
      <alignment horizontal="center" vertical="center" wrapText="1"/>
    </xf>
    <xf numFmtId="1" fontId="0" fillId="6" borderId="13" xfId="0" applyNumberFormat="1" applyFill="1" applyBorder="1" applyAlignment="1" applyProtection="1">
      <alignment horizontal="center" vertical="center" wrapText="1"/>
      <protection locked="0"/>
    </xf>
    <xf numFmtId="17" fontId="0" fillId="6" borderId="13" xfId="0" applyNumberFormat="1" applyFill="1" applyBorder="1" applyAlignment="1" applyProtection="1">
      <alignment horizontal="center" vertical="center" wrapText="1"/>
      <protection locked="0"/>
    </xf>
    <xf numFmtId="0" fontId="0" fillId="6" borderId="14" xfId="0" applyFill="1" applyBorder="1" applyAlignment="1" applyProtection="1">
      <alignment horizontal="left" vertical="center" wrapText="1"/>
      <protection locked="0"/>
    </xf>
    <xf numFmtId="44" fontId="28" fillId="8" borderId="8" xfId="1" applyFont="1" applyFill="1" applyBorder="1" applyAlignment="1" applyProtection="1">
      <alignment horizontal="center" vertical="center" wrapText="1"/>
      <protection locked="0"/>
    </xf>
    <xf numFmtId="165" fontId="28" fillId="8" borderId="8" xfId="1" applyNumberFormat="1" applyFont="1" applyFill="1" applyBorder="1" applyAlignment="1" applyProtection="1">
      <alignment horizontal="center" vertical="center" wrapText="1"/>
      <protection locked="0"/>
    </xf>
    <xf numFmtId="0" fontId="0" fillId="5" borderId="2" xfId="0" applyFill="1" applyBorder="1" applyAlignment="1" applyProtection="1">
      <alignment horizontal="left" vertical="center" wrapText="1"/>
      <protection locked="0"/>
    </xf>
    <xf numFmtId="44" fontId="0" fillId="5" borderId="2" xfId="1" applyFont="1" applyFill="1" applyBorder="1" applyAlignment="1" applyProtection="1">
      <alignment horizontal="center" vertical="center" wrapText="1"/>
      <protection locked="0"/>
    </xf>
    <xf numFmtId="0" fontId="0" fillId="5" borderId="3" xfId="0" applyFill="1" applyBorder="1" applyAlignment="1" applyProtection="1">
      <alignment horizontal="center" vertical="center" wrapText="1"/>
      <protection locked="0"/>
    </xf>
    <xf numFmtId="0" fontId="0" fillId="5" borderId="3" xfId="0" applyFill="1" applyBorder="1" applyAlignment="1" applyProtection="1">
      <alignment horizontal="left" vertical="center" wrapText="1"/>
      <protection locked="0"/>
    </xf>
    <xf numFmtId="44" fontId="0" fillId="5" borderId="3" xfId="1" applyFont="1" applyFill="1" applyBorder="1" applyAlignment="1" applyProtection="1">
      <alignment horizontal="center" vertical="center" wrapText="1"/>
      <protection locked="0"/>
    </xf>
    <xf numFmtId="44" fontId="0" fillId="5" borderId="3" xfId="1" applyFont="1" applyFill="1" applyBorder="1" applyAlignment="1" applyProtection="1">
      <alignment horizontal="left" vertical="center" wrapText="1"/>
      <protection locked="0"/>
    </xf>
    <xf numFmtId="164" fontId="0" fillId="5" borderId="3" xfId="1" applyNumberFormat="1" applyFont="1" applyFill="1" applyBorder="1" applyAlignment="1" applyProtection="1">
      <alignment horizontal="center" vertical="center" wrapText="1"/>
      <protection locked="0"/>
    </xf>
    <xf numFmtId="164" fontId="0" fillId="0" borderId="3" xfId="1" applyNumberFormat="1" applyFont="1" applyFill="1" applyBorder="1" applyAlignment="1">
      <alignment horizontal="center" vertical="center" wrapText="1"/>
    </xf>
    <xf numFmtId="2" fontId="0" fillId="3" borderId="3" xfId="0" applyNumberFormat="1" applyFill="1" applyBorder="1" applyAlignment="1">
      <alignment horizontal="center" vertical="center" wrapText="1"/>
    </xf>
    <xf numFmtId="1" fontId="0" fillId="5" borderId="3" xfId="0" applyNumberFormat="1" applyFill="1" applyBorder="1" applyAlignment="1" applyProtection="1">
      <alignment horizontal="center" vertical="center" wrapText="1"/>
      <protection locked="0"/>
    </xf>
    <xf numFmtId="17" fontId="0" fillId="5" borderId="3" xfId="0" applyNumberFormat="1" applyFill="1" applyBorder="1" applyAlignment="1" applyProtection="1">
      <alignment horizontal="center" vertical="center" wrapText="1"/>
      <protection locked="0"/>
    </xf>
    <xf numFmtId="0" fontId="0" fillId="6" borderId="0" xfId="0" applyFill="1" applyBorder="1" applyAlignment="1" applyProtection="1">
      <alignment horizontal="center" vertical="center" wrapText="1"/>
      <protection locked="0"/>
    </xf>
    <xf numFmtId="0" fontId="0" fillId="6" borderId="0" xfId="0" applyFill="1" applyBorder="1" applyAlignment="1" applyProtection="1">
      <alignment horizontal="left" vertical="center" wrapText="1"/>
      <protection locked="0"/>
    </xf>
    <xf numFmtId="44" fontId="20" fillId="6" borderId="0" xfId="1" applyFont="1" applyFill="1" applyBorder="1" applyAlignment="1" applyProtection="1">
      <alignment vertical="center" wrapText="1"/>
      <protection locked="0"/>
    </xf>
    <xf numFmtId="164" fontId="0" fillId="6" borderId="0" xfId="1" applyNumberFormat="1" applyFont="1" applyFill="1" applyBorder="1" applyAlignment="1" applyProtection="1">
      <alignment horizontal="center" vertical="center" wrapText="1"/>
      <protection locked="0"/>
    </xf>
    <xf numFmtId="164" fontId="0" fillId="6" borderId="0" xfId="1" applyNumberFormat="1" applyFont="1" applyFill="1" applyBorder="1" applyAlignment="1">
      <alignment horizontal="center" vertical="center" wrapText="1"/>
    </xf>
    <xf numFmtId="2" fontId="0" fillId="6" borderId="0" xfId="0" applyNumberFormat="1" applyFill="1" applyBorder="1" applyAlignment="1">
      <alignment horizontal="center" vertical="center" wrapText="1"/>
    </xf>
    <xf numFmtId="1" fontId="0" fillId="6" borderId="0" xfId="0" applyNumberFormat="1" applyFill="1" applyBorder="1" applyAlignment="1" applyProtection="1">
      <alignment horizontal="center" vertical="center" wrapText="1"/>
      <protection locked="0"/>
    </xf>
    <xf numFmtId="17" fontId="0" fillId="6" borderId="0" xfId="0" applyNumberFormat="1" applyFill="1" applyBorder="1" applyAlignment="1" applyProtection="1">
      <alignment horizontal="center" vertical="center" wrapText="1"/>
      <protection locked="0"/>
    </xf>
    <xf numFmtId="0" fontId="0" fillId="6" borderId="15" xfId="0" applyFill="1" applyBorder="1" applyAlignment="1" applyProtection="1">
      <alignment horizontal="center" vertical="center" wrapText="1"/>
      <protection locked="0"/>
    </xf>
    <xf numFmtId="165" fontId="28" fillId="8" borderId="16" xfId="1" applyNumberFormat="1" applyFont="1" applyFill="1" applyBorder="1" applyAlignment="1" applyProtection="1">
      <alignment horizontal="center" vertical="center" wrapText="1"/>
      <protection locked="0"/>
    </xf>
    <xf numFmtId="0" fontId="0" fillId="6" borderId="17" xfId="0" applyFill="1" applyBorder="1" applyAlignment="1" applyProtection="1">
      <alignment horizontal="left" vertical="center" wrapText="1"/>
      <protection locked="0"/>
    </xf>
    <xf numFmtId="0" fontId="25" fillId="2" borderId="1" xfId="0" applyFont="1" applyFill="1" applyBorder="1" applyAlignment="1">
      <alignment vertical="center"/>
    </xf>
    <xf numFmtId="9" fontId="25" fillId="2" borderId="1" xfId="2" applyFont="1" applyFill="1" applyBorder="1" applyAlignment="1">
      <alignment horizontal="center" vertical="center" wrapText="1"/>
    </xf>
    <xf numFmtId="0" fontId="25" fillId="2" borderId="1" xfId="0" applyFont="1" applyFill="1" applyBorder="1" applyAlignment="1">
      <alignment horizontal="center" vertical="center"/>
    </xf>
    <xf numFmtId="0" fontId="25" fillId="2" borderId="1" xfId="0" applyFont="1" applyFill="1" applyBorder="1" applyAlignment="1">
      <alignment horizontal="center" vertical="center" wrapText="1"/>
    </xf>
    <xf numFmtId="0" fontId="29" fillId="8" borderId="8" xfId="0" applyFont="1" applyFill="1" applyBorder="1" applyAlignment="1" applyProtection="1">
      <alignment horizontal="center" vertical="center" wrapText="1"/>
      <protection locked="0"/>
    </xf>
    <xf numFmtId="0" fontId="30" fillId="3" borderId="8" xfId="0" applyFont="1" applyFill="1" applyBorder="1" applyAlignment="1">
      <alignment vertical="center"/>
    </xf>
    <xf numFmtId="0" fontId="31" fillId="0" borderId="0" xfId="0" applyFont="1"/>
    <xf numFmtId="165" fontId="30" fillId="3" borderId="8" xfId="1" applyNumberFormat="1" applyFont="1" applyFill="1" applyBorder="1" applyAlignment="1">
      <alignment vertical="center"/>
    </xf>
    <xf numFmtId="44" fontId="31" fillId="0" borderId="0" xfId="0" applyNumberFormat="1" applyFont="1"/>
    <xf numFmtId="0" fontId="28" fillId="10" borderId="8" xfId="0" applyFont="1" applyFill="1" applyBorder="1" applyAlignment="1">
      <alignment vertical="center"/>
    </xf>
    <xf numFmtId="165" fontId="28" fillId="10" borderId="8" xfId="1" applyNumberFormat="1" applyFont="1" applyFill="1" applyBorder="1" applyAlignment="1">
      <alignment vertical="center"/>
    </xf>
    <xf numFmtId="44" fontId="28" fillId="10" borderId="8" xfId="1" applyFont="1" applyFill="1" applyBorder="1" applyAlignment="1">
      <alignment vertical="center"/>
    </xf>
    <xf numFmtId="165" fontId="0" fillId="0" borderId="0" xfId="0" applyNumberFormat="1" applyFill="1"/>
    <xf numFmtId="44" fontId="29" fillId="0" borderId="0" xfId="1" applyFont="1" applyFill="1" applyAlignment="1">
      <alignment horizontal="center"/>
    </xf>
    <xf numFmtId="0" fontId="0" fillId="9" borderId="1" xfId="0" applyFill="1" applyBorder="1" applyAlignment="1" applyProtection="1">
      <alignment horizontal="center" vertical="center" wrapText="1"/>
      <protection locked="0"/>
    </xf>
    <xf numFmtId="0" fontId="0" fillId="9" borderId="1" xfId="0" applyFill="1" applyBorder="1" applyAlignment="1" applyProtection="1">
      <alignment horizontal="left" vertical="center" wrapText="1"/>
      <protection locked="0"/>
    </xf>
    <xf numFmtId="44" fontId="0" fillId="9" borderId="1" xfId="1" applyFont="1" applyFill="1" applyBorder="1" applyAlignment="1" applyProtection="1">
      <alignment horizontal="center" vertical="center" wrapText="1"/>
      <protection locked="0"/>
    </xf>
    <xf numFmtId="44" fontId="0" fillId="9" borderId="1" xfId="1" applyFont="1" applyFill="1" applyBorder="1" applyAlignment="1" applyProtection="1">
      <alignment horizontal="left" vertical="center" wrapText="1"/>
      <protection locked="0"/>
    </xf>
    <xf numFmtId="164" fontId="0" fillId="9" borderId="1" xfId="1" applyNumberFormat="1" applyFont="1" applyFill="1" applyBorder="1" applyAlignment="1" applyProtection="1">
      <alignment horizontal="center" vertical="center" wrapText="1"/>
      <protection locked="0"/>
    </xf>
    <xf numFmtId="1" fontId="0" fillId="9" borderId="1" xfId="0" applyNumberFormat="1" applyFill="1" applyBorder="1" applyAlignment="1" applyProtection="1">
      <alignment horizontal="center" vertical="center" wrapText="1"/>
      <protection locked="0"/>
    </xf>
    <xf numFmtId="17" fontId="0" fillId="9" borderId="1" xfId="0" applyNumberFormat="1" applyFill="1" applyBorder="1" applyAlignment="1" applyProtection="1">
      <alignment horizontal="center" vertical="center" wrapText="1"/>
      <protection locked="0"/>
    </xf>
    <xf numFmtId="0" fontId="0" fillId="11" borderId="1" xfId="0" applyFill="1" applyBorder="1" applyAlignment="1" applyProtection="1">
      <alignment horizontal="center" vertical="center" wrapText="1"/>
      <protection locked="0"/>
    </xf>
    <xf numFmtId="0" fontId="0" fillId="11" borderId="1" xfId="0" applyFill="1" applyBorder="1" applyAlignment="1" applyProtection="1">
      <alignment horizontal="left" vertical="center" wrapText="1"/>
      <protection locked="0"/>
    </xf>
    <xf numFmtId="44" fontId="0" fillId="11" borderId="1" xfId="1" applyFont="1" applyFill="1" applyBorder="1" applyAlignment="1" applyProtection="1">
      <alignment horizontal="center" vertical="center" wrapText="1"/>
      <protection locked="0"/>
    </xf>
    <xf numFmtId="44" fontId="20" fillId="11" borderId="1" xfId="1" applyFont="1" applyFill="1" applyBorder="1" applyAlignment="1" applyProtection="1">
      <alignment vertical="center" wrapText="1"/>
      <protection locked="0"/>
    </xf>
    <xf numFmtId="164" fontId="0" fillId="11" borderId="1" xfId="1" applyNumberFormat="1" applyFont="1" applyFill="1" applyBorder="1" applyAlignment="1" applyProtection="1">
      <alignment horizontal="center" vertical="center" wrapText="1"/>
      <protection locked="0"/>
    </xf>
    <xf numFmtId="44" fontId="0" fillId="11" borderId="1" xfId="1" applyFont="1" applyFill="1" applyBorder="1" applyAlignment="1" applyProtection="1">
      <alignment horizontal="left" vertical="center" wrapText="1"/>
      <protection locked="0"/>
    </xf>
    <xf numFmtId="1" fontId="0" fillId="11" borderId="1" xfId="0" applyNumberFormat="1" applyFill="1" applyBorder="1" applyAlignment="1" applyProtection="1">
      <alignment horizontal="center" vertical="center" wrapText="1"/>
      <protection locked="0"/>
    </xf>
    <xf numFmtId="17" fontId="0" fillId="11" borderId="1" xfId="0" applyNumberFormat="1" applyFill="1" applyBorder="1" applyAlignment="1" applyProtection="1">
      <alignment horizontal="center" vertical="center" wrapText="1"/>
      <protection locked="0"/>
    </xf>
    <xf numFmtId="0" fontId="25" fillId="2" borderId="1" xfId="0" applyFont="1" applyFill="1" applyBorder="1" applyAlignment="1">
      <alignment horizontal="center" vertical="center" wrapText="1"/>
    </xf>
    <xf numFmtId="0" fontId="25" fillId="2" borderId="1" xfId="0" applyFont="1" applyFill="1" applyBorder="1" applyAlignment="1">
      <alignment horizontal="center" vertical="center"/>
    </xf>
    <xf numFmtId="0" fontId="25" fillId="3"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5" fillId="2" borderId="5" xfId="0" applyFont="1" applyFill="1" applyBorder="1" applyAlignment="1">
      <alignment horizontal="center" vertical="center"/>
    </xf>
    <xf numFmtId="0" fontId="25" fillId="2" borderId="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5" fillId="2" borderId="5" xfId="0" applyFont="1" applyFill="1" applyBorder="1" applyAlignment="1">
      <alignment horizontal="center" vertical="center" wrapText="1"/>
    </xf>
    <xf numFmtId="0" fontId="25" fillId="2" borderId="6" xfId="0" applyFont="1" applyFill="1" applyBorder="1" applyAlignment="1">
      <alignment horizontal="center" vertical="center" wrapText="1"/>
    </xf>
    <xf numFmtId="0" fontId="25" fillId="2" borderId="2" xfId="0" applyFont="1" applyFill="1" applyBorder="1" applyAlignment="1">
      <alignment horizontal="center" vertical="center" wrapText="1"/>
    </xf>
    <xf numFmtId="0" fontId="25" fillId="2" borderId="4" xfId="0" applyFont="1" applyFill="1" applyBorder="1" applyAlignment="1">
      <alignment horizontal="center" vertical="center" wrapText="1"/>
    </xf>
    <xf numFmtId="0" fontId="25" fillId="2" borderId="3" xfId="0" applyFont="1" applyFill="1" applyBorder="1" applyAlignment="1">
      <alignment horizontal="center" vertical="center" wrapText="1"/>
    </xf>
    <xf numFmtId="0" fontId="25" fillId="3" borderId="2" xfId="0" applyFont="1" applyFill="1" applyBorder="1" applyAlignment="1">
      <alignment horizontal="center" vertical="center" wrapText="1"/>
    </xf>
    <xf numFmtId="0" fontId="25" fillId="3" borderId="4" xfId="0" applyFont="1" applyFill="1" applyBorder="1" applyAlignment="1">
      <alignment horizontal="center" vertical="center" wrapText="1"/>
    </xf>
    <xf numFmtId="0" fontId="25" fillId="3" borderId="3" xfId="0" applyFont="1" applyFill="1" applyBorder="1" applyAlignment="1">
      <alignment horizontal="center" vertical="center" wrapText="1"/>
    </xf>
    <xf numFmtId="0" fontId="25" fillId="2" borderId="7" xfId="0" applyFont="1" applyFill="1" applyBorder="1" applyAlignment="1">
      <alignment horizontal="center" vertical="center" wrapText="1"/>
    </xf>
    <xf numFmtId="0" fontId="6" fillId="0" borderId="0" xfId="0" applyFont="1" applyAlignment="1">
      <alignment horizontal="center"/>
    </xf>
    <xf numFmtId="0" fontId="14" fillId="0" borderId="0" xfId="0" applyFont="1" applyAlignment="1">
      <alignment horizontal="center"/>
    </xf>
    <xf numFmtId="0" fontId="3" fillId="0" borderId="0" xfId="0" applyFont="1" applyAlignment="1">
      <alignment horizontal="left" vertical="center" wrapText="1"/>
    </xf>
    <xf numFmtId="0" fontId="15" fillId="0" borderId="0" xfId="0" applyFont="1" applyAlignment="1">
      <alignment horizontal="center" vertical="center"/>
    </xf>
    <xf numFmtId="0" fontId="11" fillId="0" borderId="0" xfId="0" applyFont="1" applyAlignment="1">
      <alignment horizontal="center" vertical="center" wrapText="1"/>
    </xf>
  </cellXfs>
  <cellStyles count="3">
    <cellStyle name="Moneda" xfId="1" builtinId="4"/>
    <cellStyle name="Normal" xfId="0" builtinId="0"/>
    <cellStyle name="Porcentaje" xfId="2" builtinId="5"/>
  </cellStyles>
  <dxfs count="0"/>
  <tableStyles count="0" defaultTableStyle="TableStyleMedium2" defaultPivotStyle="PivotStyleLight16"/>
  <colors>
    <mruColors>
      <color rgb="FFFF66FF"/>
      <color rgb="FFFFFF66"/>
      <color rgb="FF1F14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225"/>
  <sheetViews>
    <sheetView showGridLines="0" tabSelected="1" zoomScale="80" zoomScaleNormal="80" workbookViewId="0">
      <pane xSplit="4" ySplit="3" topLeftCell="E30" activePane="bottomRight" state="frozen"/>
      <selection pane="topRight" activeCell="E1" sqref="E1"/>
      <selection pane="bottomLeft" activeCell="A4" sqref="A4"/>
      <selection pane="bottomRight" activeCell="E39" sqref="E39"/>
    </sheetView>
  </sheetViews>
  <sheetFormatPr baseColWidth="10" defaultRowHeight="15" x14ac:dyDescent="0.25"/>
  <cols>
    <col min="2" max="2" width="15.140625" customWidth="1"/>
    <col min="3" max="3" width="22.7109375" style="1" bestFit="1" customWidth="1"/>
    <col min="4" max="4" width="35.140625" customWidth="1"/>
    <col min="5" max="5" width="51.42578125" customWidth="1"/>
    <col min="6" max="6" width="44.7109375" bestFit="1" customWidth="1"/>
    <col min="7" max="7" width="38.5703125" style="32" customWidth="1"/>
    <col min="8" max="8" width="17.42578125" style="32" bestFit="1" customWidth="1"/>
    <col min="9" max="9" width="6.28515625" style="32" bestFit="1" customWidth="1"/>
    <col min="10" max="10" width="15.28515625" style="32" bestFit="1" customWidth="1"/>
    <col min="11" max="11" width="7" style="32" bestFit="1" customWidth="1"/>
    <col min="12" max="12" width="15.42578125" style="32" bestFit="1" customWidth="1"/>
    <col min="13" max="13" width="7" style="32" bestFit="1" customWidth="1"/>
    <col min="14" max="14" width="17.140625" style="32" bestFit="1" customWidth="1"/>
    <col min="15" max="15" width="7" style="32" bestFit="1" customWidth="1"/>
    <col min="16" max="16" width="14.140625" style="32" bestFit="1" customWidth="1"/>
    <col min="17" max="17" width="7" style="32" bestFit="1" customWidth="1"/>
    <col min="18" max="18" width="13.28515625" style="32" customWidth="1"/>
    <col min="19" max="19" width="12" customWidth="1"/>
    <col min="20" max="21" width="14.140625" customWidth="1"/>
    <col min="22" max="22" width="17.140625" customWidth="1"/>
    <col min="23" max="23" width="18.7109375" customWidth="1"/>
    <col min="24" max="24" width="12.140625" customWidth="1"/>
    <col min="25" max="25" width="16.5703125" bestFit="1" customWidth="1"/>
    <col min="26" max="26" width="27.7109375" bestFit="1" customWidth="1"/>
    <col min="27" max="27" width="32.42578125" bestFit="1" customWidth="1"/>
    <col min="28" max="28" width="31.7109375" bestFit="1" customWidth="1"/>
    <col min="29" max="29" width="16" customWidth="1"/>
    <col min="30" max="30" width="19.5703125" bestFit="1" customWidth="1"/>
    <col min="31" max="31" width="44.85546875" bestFit="1" customWidth="1"/>
    <col min="32" max="32" width="67.140625" bestFit="1" customWidth="1"/>
    <col min="33" max="33" width="5.7109375" customWidth="1"/>
    <col min="34" max="34" width="18" style="4" customWidth="1"/>
  </cols>
  <sheetData>
    <row r="1" spans="1:34" s="1" customFormat="1" x14ac:dyDescent="0.25">
      <c r="A1" s="172" t="s">
        <v>593</v>
      </c>
      <c r="B1" s="172" t="s">
        <v>594</v>
      </c>
      <c r="C1" s="172" t="s">
        <v>32</v>
      </c>
      <c r="D1" s="172" t="s">
        <v>0</v>
      </c>
      <c r="E1" s="178" t="s">
        <v>1</v>
      </c>
      <c r="F1" s="178" t="s">
        <v>28</v>
      </c>
      <c r="G1" s="172" t="s">
        <v>31</v>
      </c>
      <c r="H1" s="179" t="s">
        <v>64</v>
      </c>
      <c r="I1" s="181"/>
      <c r="J1" s="181"/>
      <c r="K1" s="181"/>
      <c r="L1" s="181"/>
      <c r="M1" s="181"/>
      <c r="N1" s="181"/>
      <c r="O1" s="181"/>
      <c r="P1" s="181"/>
      <c r="Q1" s="181"/>
      <c r="R1" s="175" t="s">
        <v>70</v>
      </c>
      <c r="S1" s="178" t="s">
        <v>671</v>
      </c>
      <c r="T1" s="178" t="s">
        <v>605</v>
      </c>
      <c r="U1" s="178" t="s">
        <v>603</v>
      </c>
      <c r="V1" s="172" t="s">
        <v>25</v>
      </c>
      <c r="W1" s="6" t="s">
        <v>29</v>
      </c>
      <c r="X1" s="8"/>
      <c r="Y1" s="8"/>
      <c r="Z1" s="8"/>
      <c r="AA1" s="8"/>
      <c r="AB1" s="8"/>
      <c r="AC1" s="8"/>
      <c r="AD1" s="7"/>
      <c r="AE1" s="184" t="s">
        <v>89</v>
      </c>
      <c r="AF1" s="185"/>
      <c r="AH1" s="4"/>
    </row>
    <row r="2" spans="1:34" s="1" customFormat="1" x14ac:dyDescent="0.25">
      <c r="A2" s="173"/>
      <c r="B2" s="173"/>
      <c r="C2" s="173"/>
      <c r="D2" s="173"/>
      <c r="E2" s="178"/>
      <c r="F2" s="178"/>
      <c r="G2" s="173"/>
      <c r="H2" s="179" t="s">
        <v>65</v>
      </c>
      <c r="I2" s="180"/>
      <c r="J2" s="179" t="s">
        <v>66</v>
      </c>
      <c r="K2" s="180"/>
      <c r="L2" s="179" t="s">
        <v>67</v>
      </c>
      <c r="M2" s="180"/>
      <c r="N2" s="179" t="s">
        <v>68</v>
      </c>
      <c r="O2" s="180"/>
      <c r="P2" s="179" t="s">
        <v>69</v>
      </c>
      <c r="Q2" s="180"/>
      <c r="R2" s="176"/>
      <c r="S2" s="178"/>
      <c r="T2" s="178"/>
      <c r="U2" s="178"/>
      <c r="V2" s="173"/>
      <c r="W2" s="172" t="s">
        <v>2</v>
      </c>
      <c r="X2" s="184" t="s">
        <v>20</v>
      </c>
      <c r="Y2" s="185"/>
      <c r="Z2" s="172" t="s">
        <v>3</v>
      </c>
      <c r="AA2" s="172" t="s">
        <v>5</v>
      </c>
      <c r="AB2" s="172" t="s">
        <v>6</v>
      </c>
      <c r="AC2" s="172" t="s">
        <v>18</v>
      </c>
      <c r="AD2" s="172" t="s">
        <v>22</v>
      </c>
      <c r="AE2" s="172" t="s">
        <v>23</v>
      </c>
      <c r="AF2" s="172" t="s">
        <v>24</v>
      </c>
      <c r="AH2" s="4"/>
    </row>
    <row r="3" spans="1:34" ht="45" x14ac:dyDescent="0.25">
      <c r="A3" s="173"/>
      <c r="B3" s="174"/>
      <c r="C3" s="173" t="s">
        <v>30</v>
      </c>
      <c r="D3" s="173"/>
      <c r="E3" s="172"/>
      <c r="F3" s="172"/>
      <c r="G3" s="174"/>
      <c r="H3" s="33" t="s">
        <v>104</v>
      </c>
      <c r="I3" s="33">
        <f>+'Criterios y Ponderaciones'!B24</f>
        <v>0.20909090909090911</v>
      </c>
      <c r="J3" s="33" t="s">
        <v>105</v>
      </c>
      <c r="K3" s="33">
        <f>+'Criterios y Ponderaciones'!B25</f>
        <v>0.18636363636363634</v>
      </c>
      <c r="L3" s="33" t="s">
        <v>106</v>
      </c>
      <c r="M3" s="33">
        <f>+'Criterios y Ponderaciones'!B26</f>
        <v>0.27727272727272728</v>
      </c>
      <c r="N3" s="33" t="s">
        <v>107</v>
      </c>
      <c r="O3" s="33">
        <f>+'Criterios y Ponderaciones'!B27</f>
        <v>0.18636363636363634</v>
      </c>
      <c r="P3" s="33" t="s">
        <v>108</v>
      </c>
      <c r="Q3" s="33">
        <f>+'Criterios y Ponderaciones'!B28</f>
        <v>0.1409090909090909</v>
      </c>
      <c r="R3" s="177"/>
      <c r="S3" s="172"/>
      <c r="T3" s="172"/>
      <c r="U3" s="172"/>
      <c r="V3" s="173"/>
      <c r="W3" s="173"/>
      <c r="X3" s="3" t="s">
        <v>26</v>
      </c>
      <c r="Y3" s="10" t="s">
        <v>4</v>
      </c>
      <c r="Z3" s="173"/>
      <c r="AA3" s="173"/>
      <c r="AB3" s="173"/>
      <c r="AC3" s="173"/>
      <c r="AD3" s="173"/>
      <c r="AE3" s="173"/>
      <c r="AF3" s="173"/>
    </row>
    <row r="4" spans="1:34" ht="60" x14ac:dyDescent="0.25">
      <c r="A4" s="154" t="s">
        <v>590</v>
      </c>
      <c r="B4" s="154"/>
      <c r="C4" s="154" t="s">
        <v>99</v>
      </c>
      <c r="D4" s="155" t="s">
        <v>141</v>
      </c>
      <c r="E4" s="155" t="s">
        <v>660</v>
      </c>
      <c r="F4" s="156"/>
      <c r="G4" s="157"/>
      <c r="H4" s="158" t="s">
        <v>79</v>
      </c>
      <c r="I4" s="34">
        <f>VLOOKUP(H4,'Criterios y Ponderaciones'!$D$48:$J$53,7,0)</f>
        <v>1</v>
      </c>
      <c r="J4" s="158" t="s">
        <v>83</v>
      </c>
      <c r="K4" s="34">
        <f>VLOOKUP(J4,'Criterios y Ponderaciones'!$E$48:$J$52,6,0)</f>
        <v>1</v>
      </c>
      <c r="L4" s="158" t="s">
        <v>49</v>
      </c>
      <c r="M4" s="34">
        <f>VLOOKUP(L4,'Criterios y Ponderaciones'!$F$53:$G$54,2,0)</f>
        <v>0</v>
      </c>
      <c r="N4" s="158" t="s">
        <v>84</v>
      </c>
      <c r="O4" s="34">
        <f>VLOOKUP(N4,'Criterios y Ponderaciones'!$G$48:$J$52,4,0)</f>
        <v>0</v>
      </c>
      <c r="P4" s="158" t="s">
        <v>41</v>
      </c>
      <c r="Q4" s="34">
        <f>VLOOKUP(P4,'Criterios y Ponderaciones'!$F$53:$G$54,2,0)</f>
        <v>1</v>
      </c>
      <c r="R4" s="58">
        <f>(I4*$I$3+K4*$K$3+M4*$M$3+O4*$O$3+Q4*$Q$3)*1000</f>
        <v>536.36363636363637</v>
      </c>
      <c r="S4" s="159">
        <v>2019</v>
      </c>
      <c r="T4" s="160">
        <v>43131</v>
      </c>
      <c r="U4" s="160">
        <f>+T4+540</f>
        <v>43671</v>
      </c>
      <c r="V4" s="154" t="s">
        <v>226</v>
      </c>
      <c r="W4" s="154" t="s">
        <v>8</v>
      </c>
      <c r="X4" s="154" t="s">
        <v>12</v>
      </c>
      <c r="Y4" s="154" t="s">
        <v>12</v>
      </c>
      <c r="Z4" s="154" t="s">
        <v>12</v>
      </c>
      <c r="AA4" s="154" t="s">
        <v>27</v>
      </c>
      <c r="AB4" s="154" t="s">
        <v>15</v>
      </c>
      <c r="AC4" s="154" t="s">
        <v>12</v>
      </c>
      <c r="AD4" s="154" t="s">
        <v>12</v>
      </c>
      <c r="AE4" s="155" t="s">
        <v>610</v>
      </c>
      <c r="AF4" s="155" t="s">
        <v>231</v>
      </c>
    </row>
    <row r="5" spans="1:34" ht="90" x14ac:dyDescent="0.25">
      <c r="A5" s="154" t="s">
        <v>590</v>
      </c>
      <c r="B5" s="154"/>
      <c r="C5" s="154" t="s">
        <v>99</v>
      </c>
      <c r="D5" s="155" t="s">
        <v>153</v>
      </c>
      <c r="E5" s="155" t="s">
        <v>154</v>
      </c>
      <c r="F5" s="156"/>
      <c r="G5" s="157" t="s">
        <v>241</v>
      </c>
      <c r="H5" s="158" t="s">
        <v>79</v>
      </c>
      <c r="I5" s="34">
        <f>VLOOKUP(H5,'Criterios y Ponderaciones'!$D$48:$J$53,7,0)</f>
        <v>1</v>
      </c>
      <c r="J5" s="158" t="s">
        <v>83</v>
      </c>
      <c r="K5" s="34">
        <f>VLOOKUP(J5,'Criterios y Ponderaciones'!$E$48:$J$52,6,0)</f>
        <v>1</v>
      </c>
      <c r="L5" s="158" t="s">
        <v>49</v>
      </c>
      <c r="M5" s="34">
        <f>VLOOKUP(L5,'Criterios y Ponderaciones'!$F$53:$G$54,2,0)</f>
        <v>0</v>
      </c>
      <c r="N5" s="158" t="s">
        <v>88</v>
      </c>
      <c r="O5" s="34">
        <f>VLOOKUP(N5,'Criterios y Ponderaciones'!$G$48:$J$52,4,0)</f>
        <v>1</v>
      </c>
      <c r="P5" s="158" t="s">
        <v>41</v>
      </c>
      <c r="Q5" s="34">
        <f>VLOOKUP(P5,'Criterios y Ponderaciones'!$F$53:$G$54,2,0)</f>
        <v>1</v>
      </c>
      <c r="R5" s="58">
        <f>(I5*$I$3+K5*$K$3+M5*$M$3+O5*$O$3+Q5*$Q$3)*1000</f>
        <v>722.72727272727263</v>
      </c>
      <c r="S5" s="159">
        <v>2020</v>
      </c>
      <c r="T5" s="160">
        <v>43466</v>
      </c>
      <c r="U5" s="160">
        <f>+T5+720</f>
        <v>44186</v>
      </c>
      <c r="V5" s="154" t="s">
        <v>226</v>
      </c>
      <c r="W5" s="154" t="s">
        <v>8</v>
      </c>
      <c r="X5" s="154" t="s">
        <v>12</v>
      </c>
      <c r="Y5" s="154" t="s">
        <v>12</v>
      </c>
      <c r="Z5" s="154" t="s">
        <v>12</v>
      </c>
      <c r="AA5" s="154" t="s">
        <v>27</v>
      </c>
      <c r="AB5" s="154" t="s">
        <v>17</v>
      </c>
      <c r="AC5" s="154" t="s">
        <v>12</v>
      </c>
      <c r="AD5" s="154" t="s">
        <v>12</v>
      </c>
      <c r="AE5" s="155" t="s">
        <v>607</v>
      </c>
      <c r="AF5" s="155" t="s">
        <v>528</v>
      </c>
    </row>
    <row r="6" spans="1:34" ht="119.25" customHeight="1" x14ac:dyDescent="0.25">
      <c r="A6" s="154" t="s">
        <v>590</v>
      </c>
      <c r="B6" s="154"/>
      <c r="C6" s="154" t="s">
        <v>100</v>
      </c>
      <c r="D6" s="155" t="s">
        <v>191</v>
      </c>
      <c r="E6" s="155" t="s">
        <v>192</v>
      </c>
      <c r="F6" s="156"/>
      <c r="G6" s="157" t="s">
        <v>507</v>
      </c>
      <c r="H6" s="158" t="s">
        <v>79</v>
      </c>
      <c r="I6" s="34">
        <f>VLOOKUP(H6,'Criterios y Ponderaciones'!$D$48:$J$53,7,0)</f>
        <v>1</v>
      </c>
      <c r="J6" s="158" t="s">
        <v>83</v>
      </c>
      <c r="K6" s="34">
        <f>VLOOKUP(J6,'Criterios y Ponderaciones'!$E$48:$J$52,6,0)</f>
        <v>1</v>
      </c>
      <c r="L6" s="158" t="s">
        <v>49</v>
      </c>
      <c r="M6" s="34">
        <f>VLOOKUP(L6,'Criterios y Ponderaciones'!$F$53:$G$54,2,0)</f>
        <v>0</v>
      </c>
      <c r="N6" s="158" t="s">
        <v>84</v>
      </c>
      <c r="O6" s="34">
        <f>VLOOKUP(N6,'Criterios y Ponderaciones'!$G$48:$J$52,4,0)</f>
        <v>0</v>
      </c>
      <c r="P6" s="158" t="s">
        <v>41</v>
      </c>
      <c r="Q6" s="34">
        <f>VLOOKUP(P6,'Criterios y Ponderaciones'!$F$53:$G$54,2,0)</f>
        <v>1</v>
      </c>
      <c r="R6" s="58">
        <f>(I6*$I$3+K6*$K$3+M6*$M$3+O6*$O$3+Q6*$Q$3)*1000</f>
        <v>536.36363636363637</v>
      </c>
      <c r="S6" s="159">
        <v>2020</v>
      </c>
      <c r="T6" s="160">
        <v>43466</v>
      </c>
      <c r="U6" s="160">
        <f>+T6+720</f>
        <v>44186</v>
      </c>
      <c r="V6" s="154" t="s">
        <v>545</v>
      </c>
      <c r="W6" s="154" t="s">
        <v>8</v>
      </c>
      <c r="X6" s="154" t="s">
        <v>12</v>
      </c>
      <c r="Y6" s="154" t="s">
        <v>12</v>
      </c>
      <c r="Z6" s="154" t="s">
        <v>12</v>
      </c>
      <c r="AA6" s="154" t="s">
        <v>27</v>
      </c>
      <c r="AB6" s="154" t="s">
        <v>17</v>
      </c>
      <c r="AC6" s="154" t="s">
        <v>12</v>
      </c>
      <c r="AD6" s="154" t="s">
        <v>12</v>
      </c>
      <c r="AE6" s="155" t="s">
        <v>629</v>
      </c>
      <c r="AF6" s="155" t="s">
        <v>546</v>
      </c>
    </row>
    <row r="7" spans="1:34" ht="120" x14ac:dyDescent="0.25">
      <c r="A7" s="154" t="s">
        <v>590</v>
      </c>
      <c r="B7" s="154"/>
      <c r="C7" s="154" t="s">
        <v>99</v>
      </c>
      <c r="D7" s="155" t="s">
        <v>180</v>
      </c>
      <c r="E7" s="155" t="s">
        <v>181</v>
      </c>
      <c r="F7" s="156"/>
      <c r="G7" s="157" t="s">
        <v>507</v>
      </c>
      <c r="H7" s="158" t="s">
        <v>79</v>
      </c>
      <c r="I7" s="34">
        <f>VLOOKUP(H7,'Criterios y Ponderaciones'!$D$48:$J$53,7,0)</f>
        <v>1</v>
      </c>
      <c r="J7" s="158" t="s">
        <v>83</v>
      </c>
      <c r="K7" s="34">
        <f>VLOOKUP(J7,'Criterios y Ponderaciones'!$E$48:$J$52,6,0)</f>
        <v>1</v>
      </c>
      <c r="L7" s="158" t="s">
        <v>49</v>
      </c>
      <c r="M7" s="34">
        <f>VLOOKUP(L7,'Criterios y Ponderaciones'!$F$53:$G$54,2,0)</f>
        <v>0</v>
      </c>
      <c r="N7" s="158" t="s">
        <v>84</v>
      </c>
      <c r="O7" s="34">
        <f>VLOOKUP(N7,'Criterios y Ponderaciones'!$G$48:$J$52,4,0)</f>
        <v>0</v>
      </c>
      <c r="P7" s="158" t="s">
        <v>41</v>
      </c>
      <c r="Q7" s="34">
        <f>VLOOKUP(P7,'Criterios y Ponderaciones'!$F$53:$G$54,2,0)</f>
        <v>1</v>
      </c>
      <c r="R7" s="58">
        <f>(I7*$I$3+K7*$K$3+M7*$M$3+O7*$O$3+Q7*$Q$3)*1000</f>
        <v>536.36363636363637</v>
      </c>
      <c r="S7" s="159">
        <v>2019</v>
      </c>
      <c r="T7" s="160">
        <v>43101</v>
      </c>
      <c r="U7" s="160">
        <f>+T7+720</f>
        <v>43821</v>
      </c>
      <c r="V7" s="154" t="s">
        <v>226</v>
      </c>
      <c r="W7" s="154" t="s">
        <v>8</v>
      </c>
      <c r="X7" s="154" t="s">
        <v>12</v>
      </c>
      <c r="Y7" s="154" t="s">
        <v>12</v>
      </c>
      <c r="Z7" s="154" t="s">
        <v>12</v>
      </c>
      <c r="AA7" s="154" t="s">
        <v>27</v>
      </c>
      <c r="AB7" s="154" t="s">
        <v>17</v>
      </c>
      <c r="AC7" s="154" t="s">
        <v>12</v>
      </c>
      <c r="AD7" s="154" t="s">
        <v>12</v>
      </c>
      <c r="AE7" s="155" t="s">
        <v>641</v>
      </c>
      <c r="AF7" s="155" t="s">
        <v>557</v>
      </c>
    </row>
    <row r="8" spans="1:34" s="75" customFormat="1" ht="6.75" customHeight="1" x14ac:dyDescent="0.25">
      <c r="A8" s="79"/>
      <c r="B8" s="80"/>
      <c r="C8" s="80"/>
      <c r="D8" s="81"/>
      <c r="E8" s="81"/>
      <c r="F8" s="82"/>
      <c r="G8" s="83"/>
      <c r="H8" s="84"/>
      <c r="I8" s="85"/>
      <c r="J8" s="84"/>
      <c r="K8" s="85"/>
      <c r="L8" s="84"/>
      <c r="M8" s="85"/>
      <c r="N8" s="84"/>
      <c r="O8" s="85"/>
      <c r="P8" s="84"/>
      <c r="Q8" s="85"/>
      <c r="R8" s="86"/>
      <c r="S8" s="87"/>
      <c r="T8" s="88"/>
      <c r="U8" s="88"/>
      <c r="V8" s="80"/>
      <c r="W8" s="80"/>
      <c r="X8" s="80"/>
      <c r="Y8" s="80"/>
      <c r="Z8" s="80"/>
      <c r="AA8" s="80"/>
      <c r="AB8" s="80"/>
      <c r="AC8" s="80"/>
      <c r="AD8" s="80"/>
      <c r="AE8" s="81"/>
      <c r="AF8" s="89"/>
      <c r="AH8" s="76"/>
    </row>
    <row r="9" spans="1:34" s="73" customFormat="1" x14ac:dyDescent="0.25">
      <c r="A9" s="172" t="s">
        <v>593</v>
      </c>
      <c r="B9" s="172" t="s">
        <v>594</v>
      </c>
      <c r="C9" s="172" t="s">
        <v>32</v>
      </c>
      <c r="D9" s="172" t="s">
        <v>0</v>
      </c>
      <c r="E9" s="178" t="s">
        <v>1</v>
      </c>
      <c r="F9" s="178" t="s">
        <v>28</v>
      </c>
      <c r="G9" s="172" t="s">
        <v>31</v>
      </c>
      <c r="H9" s="186" t="s">
        <v>64</v>
      </c>
      <c r="I9" s="187"/>
      <c r="J9" s="187"/>
      <c r="K9" s="187"/>
      <c r="L9" s="187"/>
      <c r="M9" s="187"/>
      <c r="N9" s="187"/>
      <c r="O9" s="187"/>
      <c r="P9" s="187"/>
      <c r="Q9" s="187"/>
      <c r="R9" s="175" t="s">
        <v>70</v>
      </c>
      <c r="S9" s="178" t="s">
        <v>671</v>
      </c>
      <c r="T9" s="178" t="s">
        <v>605</v>
      </c>
      <c r="U9" s="178" t="s">
        <v>603</v>
      </c>
      <c r="V9" s="172" t="s">
        <v>25</v>
      </c>
      <c r="W9" s="91" t="s">
        <v>29</v>
      </c>
      <c r="X9" s="71"/>
      <c r="Y9" s="71"/>
      <c r="Z9" s="90"/>
      <c r="AA9" s="90"/>
      <c r="AB9" s="71"/>
      <c r="AC9" s="71"/>
      <c r="AD9" s="72"/>
      <c r="AE9" s="182" t="s">
        <v>89</v>
      </c>
      <c r="AF9" s="183"/>
      <c r="AH9" s="74"/>
    </row>
    <row r="10" spans="1:34" s="1" customFormat="1" x14ac:dyDescent="0.25">
      <c r="A10" s="173"/>
      <c r="B10" s="173"/>
      <c r="C10" s="173"/>
      <c r="D10" s="173"/>
      <c r="E10" s="178"/>
      <c r="F10" s="178"/>
      <c r="G10" s="173"/>
      <c r="H10" s="179" t="s">
        <v>65</v>
      </c>
      <c r="I10" s="180"/>
      <c r="J10" s="179" t="s">
        <v>66</v>
      </c>
      <c r="K10" s="180"/>
      <c r="L10" s="179" t="s">
        <v>67</v>
      </c>
      <c r="M10" s="180"/>
      <c r="N10" s="179" t="s">
        <v>68</v>
      </c>
      <c r="O10" s="180"/>
      <c r="P10" s="179" t="s">
        <v>69</v>
      </c>
      <c r="Q10" s="180"/>
      <c r="R10" s="176"/>
      <c r="S10" s="178"/>
      <c r="T10" s="178"/>
      <c r="U10" s="178"/>
      <c r="V10" s="173"/>
      <c r="W10" s="172" t="s">
        <v>2</v>
      </c>
      <c r="X10" s="184" t="s">
        <v>20</v>
      </c>
      <c r="Y10" s="185"/>
      <c r="Z10" s="172" t="s">
        <v>3</v>
      </c>
      <c r="AA10" s="172" t="s">
        <v>5</v>
      </c>
      <c r="AB10" s="172" t="s">
        <v>6</v>
      </c>
      <c r="AC10" s="172" t="s">
        <v>18</v>
      </c>
      <c r="AD10" s="172" t="s">
        <v>22</v>
      </c>
      <c r="AE10" s="172" t="s">
        <v>23</v>
      </c>
      <c r="AF10" s="172" t="s">
        <v>24</v>
      </c>
      <c r="AH10" s="4"/>
    </row>
    <row r="11" spans="1:34" ht="45" x14ac:dyDescent="0.25">
      <c r="A11" s="173"/>
      <c r="B11" s="174"/>
      <c r="C11" s="173" t="s">
        <v>30</v>
      </c>
      <c r="D11" s="173"/>
      <c r="E11" s="172"/>
      <c r="F11" s="172"/>
      <c r="G11" s="174"/>
      <c r="H11" s="33" t="s">
        <v>104</v>
      </c>
      <c r="I11" s="33">
        <f>+'Criterios y Ponderaciones'!B34</f>
        <v>0</v>
      </c>
      <c r="J11" s="33" t="s">
        <v>105</v>
      </c>
      <c r="K11" s="33">
        <f>+'Criterios y Ponderaciones'!B35</f>
        <v>0</v>
      </c>
      <c r="L11" s="33" t="s">
        <v>106</v>
      </c>
      <c r="M11" s="33">
        <f>+'Criterios y Ponderaciones'!B36</f>
        <v>0</v>
      </c>
      <c r="N11" s="33" t="s">
        <v>107</v>
      </c>
      <c r="O11" s="33">
        <f>+'Criterios y Ponderaciones'!B37</f>
        <v>0</v>
      </c>
      <c r="P11" s="33" t="s">
        <v>108</v>
      </c>
      <c r="Q11" s="33">
        <f>+'Criterios y Ponderaciones'!B38</f>
        <v>0</v>
      </c>
      <c r="R11" s="177"/>
      <c r="S11" s="172"/>
      <c r="T11" s="172"/>
      <c r="U11" s="172"/>
      <c r="V11" s="173"/>
      <c r="W11" s="173"/>
      <c r="X11" s="3" t="s">
        <v>26</v>
      </c>
      <c r="Y11" s="70" t="s">
        <v>4</v>
      </c>
      <c r="Z11" s="173"/>
      <c r="AA11" s="173"/>
      <c r="AB11" s="173"/>
      <c r="AC11" s="173"/>
      <c r="AD11" s="173"/>
      <c r="AE11" s="173"/>
      <c r="AF11" s="173"/>
    </row>
    <row r="12" spans="1:34" ht="60" x14ac:dyDescent="0.25">
      <c r="A12" s="161" t="s">
        <v>592</v>
      </c>
      <c r="B12" s="161" t="s">
        <v>675</v>
      </c>
      <c r="C12" s="161" t="s">
        <v>99</v>
      </c>
      <c r="D12" s="162" t="s">
        <v>412</v>
      </c>
      <c r="E12" s="162" t="s">
        <v>413</v>
      </c>
      <c r="F12" s="163">
        <v>180000000</v>
      </c>
      <c r="G12" s="164" t="s">
        <v>414</v>
      </c>
      <c r="H12" s="165" t="s">
        <v>76</v>
      </c>
      <c r="I12" s="34">
        <f>VLOOKUP(H12,'Criterios y Ponderaciones'!$D$48:$J$53,7,0)</f>
        <v>0.25</v>
      </c>
      <c r="J12" s="165" t="s">
        <v>83</v>
      </c>
      <c r="K12" s="34">
        <f>VLOOKUP(J12,'Criterios y Ponderaciones'!$E$48:$J$52,6,0)</f>
        <v>1</v>
      </c>
      <c r="L12" s="165" t="s">
        <v>49</v>
      </c>
      <c r="M12" s="34">
        <f>VLOOKUP(L12,'Criterios y Ponderaciones'!$F$53:$G$54,2,0)</f>
        <v>0</v>
      </c>
      <c r="N12" s="165" t="s">
        <v>85</v>
      </c>
      <c r="O12" s="34">
        <f>VLOOKUP(N12,'Criterios y Ponderaciones'!$G$48:$J$52,4,0)</f>
        <v>0.25</v>
      </c>
      <c r="P12" s="165" t="s">
        <v>41</v>
      </c>
      <c r="Q12" s="34">
        <f>VLOOKUP(P12,'Criterios y Ponderaciones'!$F$53:$G$54,2,0)</f>
        <v>1</v>
      </c>
      <c r="R12" s="58">
        <f>(I12*$I$3+K12*$K$3+M12*$M$3+O12*$O$3+Q12*$Q$3)*1000</f>
        <v>426.13636363636363</v>
      </c>
      <c r="S12" s="167">
        <v>2020</v>
      </c>
      <c r="T12" s="168">
        <f>U12-540</f>
        <v>43626</v>
      </c>
      <c r="U12" s="168">
        <v>44166</v>
      </c>
      <c r="V12" s="161" t="s">
        <v>453</v>
      </c>
      <c r="W12" s="161" t="s">
        <v>73</v>
      </c>
      <c r="X12" s="161" t="s">
        <v>454</v>
      </c>
      <c r="Y12" s="161" t="s">
        <v>9</v>
      </c>
      <c r="Z12" s="161" t="s">
        <v>9</v>
      </c>
      <c r="AA12" s="161" t="s">
        <v>443</v>
      </c>
      <c r="AB12" s="161" t="s">
        <v>16</v>
      </c>
      <c r="AC12" s="161" t="s">
        <v>19</v>
      </c>
      <c r="AD12" s="161" t="s">
        <v>454</v>
      </c>
      <c r="AE12" s="162" t="s">
        <v>455</v>
      </c>
      <c r="AF12" s="162" t="s">
        <v>456</v>
      </c>
    </row>
    <row r="13" spans="1:34" ht="95.25" customHeight="1" x14ac:dyDescent="0.25">
      <c r="A13" s="161" t="s">
        <v>592</v>
      </c>
      <c r="B13" s="161" t="s">
        <v>675</v>
      </c>
      <c r="C13" s="161"/>
      <c r="D13" s="162" t="s">
        <v>587</v>
      </c>
      <c r="E13" s="162" t="s">
        <v>599</v>
      </c>
      <c r="F13" s="163">
        <f>('Montos de Referencia'!$C$4*'Montos de Referencia'!$I$3)*1.02</f>
        <v>169290420</v>
      </c>
      <c r="G13" s="166" t="s">
        <v>496</v>
      </c>
      <c r="H13" s="165" t="s">
        <v>76</v>
      </c>
      <c r="I13" s="34">
        <f>VLOOKUP(H13,'Criterios y Ponderaciones'!$D$48:$J$53,7,0)</f>
        <v>0.25</v>
      </c>
      <c r="J13" s="165" t="s">
        <v>80</v>
      </c>
      <c r="K13" s="34">
        <f>VLOOKUP(J13,'Criterios y Ponderaciones'!$E$48:$J$52,6,0)</f>
        <v>0.25</v>
      </c>
      <c r="L13" s="165" t="s">
        <v>41</v>
      </c>
      <c r="M13" s="34">
        <f>VLOOKUP(L13,'Criterios y Ponderaciones'!$F$53:$G$54,2,0)</f>
        <v>1</v>
      </c>
      <c r="N13" s="165" t="s">
        <v>85</v>
      </c>
      <c r="O13" s="34">
        <f>VLOOKUP(N13,'Criterios y Ponderaciones'!$G$48:$J$52,4,0)</f>
        <v>0.25</v>
      </c>
      <c r="P13" s="165" t="s">
        <v>41</v>
      </c>
      <c r="Q13" s="34">
        <f>VLOOKUP(P13,'Criterios y Ponderaciones'!$F$53:$G$54,2,0)</f>
        <v>1</v>
      </c>
      <c r="R13" s="58">
        <f>(I13*$I$3+K13*$K$3+M13*$M$3+O13*$O$3+Q13*$Q$3)*1000</f>
        <v>563.63636363636363</v>
      </c>
      <c r="S13" s="167">
        <v>2017</v>
      </c>
      <c r="T13" s="168"/>
      <c r="U13" s="168">
        <v>42795</v>
      </c>
      <c r="V13" s="161"/>
      <c r="W13" s="161"/>
      <c r="X13" s="161"/>
      <c r="Y13" s="161"/>
      <c r="Z13" s="161"/>
      <c r="AA13" s="161"/>
      <c r="AB13" s="161"/>
      <c r="AC13" s="161"/>
      <c r="AD13" s="161"/>
      <c r="AE13" s="162"/>
      <c r="AF13" s="162"/>
    </row>
    <row r="14" spans="1:34" ht="73.5" customHeight="1" x14ac:dyDescent="0.25">
      <c r="A14" s="161" t="s">
        <v>592</v>
      </c>
      <c r="B14" s="161" t="s">
        <v>595</v>
      </c>
      <c r="C14" s="161" t="s">
        <v>100</v>
      </c>
      <c r="D14" s="162" t="s">
        <v>417</v>
      </c>
      <c r="E14" s="162" t="s">
        <v>418</v>
      </c>
      <c r="F14" s="163">
        <f>60000000*1.1+'Montos de Referencia'!$C$5*'Montos de Referencia'!$I$3</f>
        <v>85526000</v>
      </c>
      <c r="G14" s="164">
        <v>0</v>
      </c>
      <c r="H14" s="165" t="s">
        <v>76</v>
      </c>
      <c r="I14" s="34">
        <f>VLOOKUP(H14,'Criterios y Ponderaciones'!$D$48:$J$53,7,0)</f>
        <v>0.25</v>
      </c>
      <c r="J14" s="165" t="s">
        <v>82</v>
      </c>
      <c r="K14" s="34">
        <f>VLOOKUP(J14,'Criterios y Ponderaciones'!$E$48:$J$52,6,0)</f>
        <v>0.75</v>
      </c>
      <c r="L14" s="165" t="s">
        <v>49</v>
      </c>
      <c r="M14" s="34">
        <f>VLOOKUP(L14,'Criterios y Ponderaciones'!$F$53:$G$54,2,0)</f>
        <v>0</v>
      </c>
      <c r="N14" s="165" t="s">
        <v>86</v>
      </c>
      <c r="O14" s="34">
        <f>VLOOKUP(N14,'Criterios y Ponderaciones'!$G$48:$J$52,4,0)</f>
        <v>0.5</v>
      </c>
      <c r="P14" s="165" t="s">
        <v>41</v>
      </c>
      <c r="Q14" s="34">
        <f>VLOOKUP(P14,'Criterios y Ponderaciones'!$F$53:$G$54,2,0)</f>
        <v>1</v>
      </c>
      <c r="R14" s="58">
        <f>(I14*$I$3+K14*$K$3+M14*$M$3+O14*$O$3+Q14*$Q$3)*1000</f>
        <v>426.13636363636363</v>
      </c>
      <c r="S14" s="167">
        <v>2023</v>
      </c>
      <c r="T14" s="168">
        <f>U14-540</f>
        <v>44721</v>
      </c>
      <c r="U14" s="168">
        <v>45261</v>
      </c>
      <c r="V14" s="161" t="s">
        <v>459</v>
      </c>
      <c r="W14" s="161" t="s">
        <v>12</v>
      </c>
      <c r="X14" s="161" t="s">
        <v>12</v>
      </c>
      <c r="Y14" s="161" t="s">
        <v>11</v>
      </c>
      <c r="Z14" s="161" t="s">
        <v>11</v>
      </c>
      <c r="AA14" s="161" t="s">
        <v>443</v>
      </c>
      <c r="AB14" s="161" t="s">
        <v>16</v>
      </c>
      <c r="AC14" s="161" t="s">
        <v>19</v>
      </c>
      <c r="AD14" s="161" t="s">
        <v>12</v>
      </c>
      <c r="AE14" s="162" t="s">
        <v>460</v>
      </c>
      <c r="AF14" s="162" t="s">
        <v>461</v>
      </c>
    </row>
    <row r="15" spans="1:34" ht="68.25" customHeight="1" x14ac:dyDescent="0.25">
      <c r="A15" s="161" t="s">
        <v>592</v>
      </c>
      <c r="B15" s="161" t="s">
        <v>596</v>
      </c>
      <c r="C15" s="161" t="s">
        <v>99</v>
      </c>
      <c r="D15" s="162" t="s">
        <v>438</v>
      </c>
      <c r="E15" s="162" t="s">
        <v>439</v>
      </c>
      <c r="F15" s="163">
        <f>('Montos de Referencia'!$C$5*1.1*'Montos de Referencia'!$I$3)</f>
        <v>21478600</v>
      </c>
      <c r="G15" s="164" t="s">
        <v>419</v>
      </c>
      <c r="H15" s="165" t="s">
        <v>79</v>
      </c>
      <c r="I15" s="34">
        <f>VLOOKUP(H15,'Criterios y Ponderaciones'!$D$48:$J$53,7,0)</f>
        <v>1</v>
      </c>
      <c r="J15" s="165" t="s">
        <v>81</v>
      </c>
      <c r="K15" s="34">
        <f>VLOOKUP(J15,'Criterios y Ponderaciones'!$E$48:$J$52,6,0)</f>
        <v>0.5</v>
      </c>
      <c r="L15" s="165" t="s">
        <v>49</v>
      </c>
      <c r="M15" s="34">
        <f>VLOOKUP(L15,'Criterios y Ponderaciones'!$F$53:$G$54,2,0)</f>
        <v>0</v>
      </c>
      <c r="N15" s="165" t="s">
        <v>84</v>
      </c>
      <c r="O15" s="34">
        <f>VLOOKUP(N15,'Criterios y Ponderaciones'!$G$48:$J$52,4,0)</f>
        <v>0</v>
      </c>
      <c r="P15" s="165" t="s">
        <v>49</v>
      </c>
      <c r="Q15" s="34">
        <f>VLOOKUP(P15,'Criterios y Ponderaciones'!$F$53:$G$54,2,0)</f>
        <v>0</v>
      </c>
      <c r="R15" s="58">
        <f>(I15*$I$3+K15*$K$3+M15*$M$3+O15*$O$3+Q15*$Q$3)*1000</f>
        <v>302.27272727272725</v>
      </c>
      <c r="S15" s="167">
        <v>2018</v>
      </c>
      <c r="T15" s="168">
        <f>U15-540</f>
        <v>42895</v>
      </c>
      <c r="U15" s="168">
        <v>43435</v>
      </c>
      <c r="V15" s="161" t="s">
        <v>446</v>
      </c>
      <c r="W15" s="161" t="s">
        <v>472</v>
      </c>
      <c r="X15" s="161" t="s">
        <v>228</v>
      </c>
      <c r="Y15" s="161" t="s">
        <v>9</v>
      </c>
      <c r="Z15" s="161" t="s">
        <v>9</v>
      </c>
      <c r="AA15" s="161" t="s">
        <v>443</v>
      </c>
      <c r="AB15" s="161" t="s">
        <v>16</v>
      </c>
      <c r="AC15" s="161" t="s">
        <v>19</v>
      </c>
      <c r="AD15" s="161" t="s">
        <v>12</v>
      </c>
      <c r="AE15" s="162" t="s">
        <v>462</v>
      </c>
      <c r="AF15" s="162" t="s">
        <v>463</v>
      </c>
    </row>
    <row r="16" spans="1:34" s="75" customFormat="1" ht="6.75" customHeight="1" x14ac:dyDescent="0.25">
      <c r="A16" s="79"/>
      <c r="B16" s="80"/>
      <c r="C16" s="80"/>
      <c r="D16" s="81"/>
      <c r="E16" s="81"/>
      <c r="F16" s="82"/>
      <c r="G16" s="83"/>
      <c r="H16" s="84"/>
      <c r="I16" s="85"/>
      <c r="J16" s="84"/>
      <c r="K16" s="85"/>
      <c r="L16" s="84"/>
      <c r="M16" s="85"/>
      <c r="N16" s="84"/>
      <c r="O16" s="85"/>
      <c r="P16" s="84"/>
      <c r="Q16" s="85"/>
      <c r="R16" s="86"/>
      <c r="S16" s="87"/>
      <c r="T16" s="88"/>
      <c r="U16" s="88"/>
      <c r="V16" s="80"/>
      <c r="W16" s="80"/>
      <c r="X16" s="80"/>
      <c r="Y16" s="80"/>
      <c r="Z16" s="80"/>
      <c r="AA16" s="80"/>
      <c r="AB16" s="80"/>
      <c r="AC16" s="80"/>
      <c r="AD16" s="80"/>
      <c r="AE16" s="81"/>
      <c r="AF16" s="89"/>
      <c r="AH16" s="76"/>
    </row>
    <row r="17" spans="1:34" s="73" customFormat="1" x14ac:dyDescent="0.25">
      <c r="A17" s="188" t="s">
        <v>593</v>
      </c>
      <c r="B17" s="188" t="s">
        <v>594</v>
      </c>
      <c r="C17" s="188" t="s">
        <v>32</v>
      </c>
      <c r="D17" s="188" t="s">
        <v>0</v>
      </c>
      <c r="E17" s="169" t="s">
        <v>1</v>
      </c>
      <c r="F17" s="169" t="s">
        <v>28</v>
      </c>
      <c r="G17" s="188" t="s">
        <v>31</v>
      </c>
      <c r="H17" s="186" t="s">
        <v>64</v>
      </c>
      <c r="I17" s="187"/>
      <c r="J17" s="187"/>
      <c r="K17" s="187"/>
      <c r="L17" s="187"/>
      <c r="M17" s="187"/>
      <c r="N17" s="187"/>
      <c r="O17" s="187"/>
      <c r="P17" s="187"/>
      <c r="Q17" s="187"/>
      <c r="R17" s="191" t="s">
        <v>70</v>
      </c>
      <c r="S17" s="169" t="s">
        <v>671</v>
      </c>
      <c r="T17" s="169" t="s">
        <v>605</v>
      </c>
      <c r="U17" s="169" t="s">
        <v>603</v>
      </c>
      <c r="V17" s="188" t="s">
        <v>25</v>
      </c>
      <c r="W17" s="91" t="s">
        <v>29</v>
      </c>
      <c r="X17" s="90"/>
      <c r="Y17" s="90"/>
      <c r="Z17" s="90"/>
      <c r="AA17" s="90"/>
      <c r="AB17" s="90"/>
      <c r="AC17" s="90"/>
      <c r="AD17" s="92"/>
      <c r="AE17" s="182" t="s">
        <v>89</v>
      </c>
      <c r="AF17" s="183"/>
      <c r="AH17" s="74"/>
    </row>
    <row r="18" spans="1:34" s="1" customFormat="1" x14ac:dyDescent="0.25">
      <c r="A18" s="189"/>
      <c r="B18" s="189"/>
      <c r="C18" s="189"/>
      <c r="D18" s="189"/>
      <c r="E18" s="169"/>
      <c r="F18" s="169"/>
      <c r="G18" s="189"/>
      <c r="H18" s="186" t="s">
        <v>65</v>
      </c>
      <c r="I18" s="194"/>
      <c r="J18" s="186" t="s">
        <v>66</v>
      </c>
      <c r="K18" s="194"/>
      <c r="L18" s="186" t="s">
        <v>67</v>
      </c>
      <c r="M18" s="194"/>
      <c r="N18" s="186" t="s">
        <v>68</v>
      </c>
      <c r="O18" s="194"/>
      <c r="P18" s="186" t="s">
        <v>69</v>
      </c>
      <c r="Q18" s="194"/>
      <c r="R18" s="192"/>
      <c r="S18" s="169"/>
      <c r="T18" s="169"/>
      <c r="U18" s="169"/>
      <c r="V18" s="189"/>
      <c r="W18" s="188" t="s">
        <v>2</v>
      </c>
      <c r="X18" s="182" t="s">
        <v>20</v>
      </c>
      <c r="Y18" s="183"/>
      <c r="Z18" s="188" t="s">
        <v>3</v>
      </c>
      <c r="AA18" s="188" t="s">
        <v>5</v>
      </c>
      <c r="AB18" s="188" t="s">
        <v>6</v>
      </c>
      <c r="AC18" s="188" t="s">
        <v>18</v>
      </c>
      <c r="AD18" s="188" t="s">
        <v>22</v>
      </c>
      <c r="AE18" s="188" t="s">
        <v>23</v>
      </c>
      <c r="AF18" s="188" t="s">
        <v>24</v>
      </c>
      <c r="AH18" s="4"/>
    </row>
    <row r="19" spans="1:34" ht="66" customHeight="1" x14ac:dyDescent="0.25">
      <c r="A19" s="189"/>
      <c r="B19" s="190"/>
      <c r="C19" s="189" t="s">
        <v>30</v>
      </c>
      <c r="D19" s="189"/>
      <c r="E19" s="188"/>
      <c r="F19" s="188"/>
      <c r="G19" s="190"/>
      <c r="H19" s="93" t="s">
        <v>104</v>
      </c>
      <c r="I19" s="93" t="str">
        <f>+'Criterios y Ponderaciones'!B43</f>
        <v>Eliminar o reducir la generación distribuida ineficiente</v>
      </c>
      <c r="J19" s="93" t="s">
        <v>689</v>
      </c>
      <c r="K19" s="93" t="str">
        <f>+'Criterios y Ponderaciones'!B44</f>
        <v>Eliminar restricciones en condiciones "N-1" del sistema</v>
      </c>
      <c r="L19" s="93" t="s">
        <v>106</v>
      </c>
      <c r="M19" s="93">
        <f>+'Criterios y Ponderaciones'!B45</f>
        <v>0</v>
      </c>
      <c r="N19" s="93" t="s">
        <v>107</v>
      </c>
      <c r="O19" s="93">
        <f>+'Criterios y Ponderaciones'!B46</f>
        <v>0</v>
      </c>
      <c r="P19" s="93" t="s">
        <v>108</v>
      </c>
      <c r="Q19" s="93">
        <f>+'Criterios y Ponderaciones'!B47</f>
        <v>0</v>
      </c>
      <c r="R19" s="193"/>
      <c r="S19" s="188"/>
      <c r="T19" s="188"/>
      <c r="U19" s="188"/>
      <c r="V19" s="189"/>
      <c r="W19" s="189"/>
      <c r="X19" s="94" t="s">
        <v>26</v>
      </c>
      <c r="Y19" s="95" t="s">
        <v>4</v>
      </c>
      <c r="Z19" s="189"/>
      <c r="AA19" s="189"/>
      <c r="AB19" s="189"/>
      <c r="AC19" s="189"/>
      <c r="AD19" s="189"/>
      <c r="AE19" s="189"/>
      <c r="AF19" s="189"/>
    </row>
    <row r="20" spans="1:34" ht="114" customHeight="1" x14ac:dyDescent="0.25">
      <c r="A20" s="54" t="s">
        <v>592</v>
      </c>
      <c r="B20" s="54" t="s">
        <v>11</v>
      </c>
      <c r="C20" s="54" t="s">
        <v>98</v>
      </c>
      <c r="D20" s="55" t="s">
        <v>421</v>
      </c>
      <c r="E20" s="55" t="s">
        <v>422</v>
      </c>
      <c r="F20" s="56">
        <f>6000000*1.055+'Montos de Referencia'!$C$5*'Montos de Referencia'!$I$3</f>
        <v>25856000</v>
      </c>
      <c r="G20" s="62">
        <v>0</v>
      </c>
      <c r="H20" s="53" t="s">
        <v>77</v>
      </c>
      <c r="I20" s="34">
        <f>VLOOKUP(H20,'Criterios y Ponderaciones'!$D$48:$J$53,7,0)</f>
        <v>0.5</v>
      </c>
      <c r="J20" s="53" t="s">
        <v>80</v>
      </c>
      <c r="K20" s="34">
        <f>VLOOKUP(J20,'Criterios y Ponderaciones'!$E$48:$J$52,6,0)</f>
        <v>0.25</v>
      </c>
      <c r="L20" s="53" t="s">
        <v>49</v>
      </c>
      <c r="M20" s="34">
        <f>VLOOKUP(L20,'Criterios y Ponderaciones'!$F$53:$G$54,2,0)</f>
        <v>0</v>
      </c>
      <c r="N20" s="53" t="s">
        <v>84</v>
      </c>
      <c r="O20" s="34">
        <f>VLOOKUP(N20,'Criterios y Ponderaciones'!$G$48:$J$52,4,0)</f>
        <v>0</v>
      </c>
      <c r="P20" s="53" t="s">
        <v>41</v>
      </c>
      <c r="Q20" s="34">
        <f>VLOOKUP(P20,'Criterios y Ponderaciones'!$F$53:$G$54,2,0)</f>
        <v>1</v>
      </c>
      <c r="R20" s="58">
        <f t="shared" ref="R20:R41" si="0">(I20*$I$3+K20*$K$3+M20*$M$3+O20*$O$3+Q20*$Q$3)*1000</f>
        <v>292.0454545454545</v>
      </c>
      <c r="S20" s="68">
        <v>2016</v>
      </c>
      <c r="T20" s="57"/>
      <c r="U20" s="57">
        <v>42705</v>
      </c>
      <c r="V20" s="54" t="s">
        <v>464</v>
      </c>
      <c r="W20" s="54" t="s">
        <v>680</v>
      </c>
      <c r="X20" s="54" t="s">
        <v>228</v>
      </c>
      <c r="Y20" s="54" t="s">
        <v>9</v>
      </c>
      <c r="Z20" s="54" t="s">
        <v>9</v>
      </c>
      <c r="AA20" s="54" t="s">
        <v>443</v>
      </c>
      <c r="AB20" s="54" t="s">
        <v>16</v>
      </c>
      <c r="AC20" s="54" t="s">
        <v>19</v>
      </c>
      <c r="AD20" s="54" t="s">
        <v>454</v>
      </c>
      <c r="AE20" s="55" t="s">
        <v>465</v>
      </c>
      <c r="AF20" s="55" t="s">
        <v>466</v>
      </c>
    </row>
    <row r="21" spans="1:34" ht="93" customHeight="1" x14ac:dyDescent="0.25">
      <c r="A21" s="54" t="s">
        <v>592</v>
      </c>
      <c r="B21" s="54" t="s">
        <v>11</v>
      </c>
      <c r="C21" s="54" t="s">
        <v>98</v>
      </c>
      <c r="D21" s="55" t="s">
        <v>139</v>
      </c>
      <c r="E21" s="55" t="s">
        <v>657</v>
      </c>
      <c r="F21" s="56">
        <f>75000000</f>
        <v>75000000</v>
      </c>
      <c r="G21" s="63"/>
      <c r="H21" s="53" t="s">
        <v>79</v>
      </c>
      <c r="I21" s="34">
        <f>VLOOKUP(H21,'Criterios y Ponderaciones'!$D$48:$J$53,7,0)</f>
        <v>1</v>
      </c>
      <c r="J21" s="53" t="s">
        <v>83</v>
      </c>
      <c r="K21" s="34">
        <f>VLOOKUP(J21,'Criterios y Ponderaciones'!$E$48:$J$52,6,0)</f>
        <v>1</v>
      </c>
      <c r="L21" s="53" t="s">
        <v>41</v>
      </c>
      <c r="M21" s="34">
        <f>VLOOKUP(L21,'Criterios y Ponderaciones'!$F$53:$G$54,2,0)</f>
        <v>1</v>
      </c>
      <c r="N21" s="53" t="s">
        <v>87</v>
      </c>
      <c r="O21" s="34">
        <f>VLOOKUP(N21,'Criterios y Ponderaciones'!$G$48:$J$52,4,0)</f>
        <v>0.75</v>
      </c>
      <c r="P21" s="53" t="s">
        <v>41</v>
      </c>
      <c r="Q21" s="34">
        <f>VLOOKUP(P21,'Criterios y Ponderaciones'!$F$53:$G$54,2,0)</f>
        <v>1</v>
      </c>
      <c r="R21" s="58">
        <f t="shared" si="0"/>
        <v>953.40909090909088</v>
      </c>
      <c r="S21" s="68">
        <v>2017</v>
      </c>
      <c r="T21" s="57">
        <v>42736</v>
      </c>
      <c r="U21" s="57">
        <f>+T21+360</f>
        <v>43096</v>
      </c>
      <c r="V21" s="54" t="s">
        <v>226</v>
      </c>
      <c r="W21" s="54" t="s">
        <v>73</v>
      </c>
      <c r="X21" s="54" t="s">
        <v>12</v>
      </c>
      <c r="Y21" s="54" t="s">
        <v>9</v>
      </c>
      <c r="Z21" s="54" t="s">
        <v>9</v>
      </c>
      <c r="AA21" s="54" t="s">
        <v>27</v>
      </c>
      <c r="AB21" s="54" t="s">
        <v>15</v>
      </c>
      <c r="AC21" s="54" t="s">
        <v>19</v>
      </c>
      <c r="AD21" s="54" t="s">
        <v>12</v>
      </c>
      <c r="AE21" s="55" t="s">
        <v>663</v>
      </c>
      <c r="AF21" s="55" t="s">
        <v>521</v>
      </c>
    </row>
    <row r="22" spans="1:34" ht="105.75" customHeight="1" x14ac:dyDescent="0.25">
      <c r="A22" s="54" t="s">
        <v>592</v>
      </c>
      <c r="B22" s="54" t="s">
        <v>11</v>
      </c>
      <c r="C22" s="54" t="s">
        <v>98</v>
      </c>
      <c r="D22" s="55" t="s">
        <v>286</v>
      </c>
      <c r="E22" s="55" t="s">
        <v>287</v>
      </c>
      <c r="F22" s="56">
        <v>81179068.842391342</v>
      </c>
      <c r="G22" s="62"/>
      <c r="H22" s="53" t="s">
        <v>79</v>
      </c>
      <c r="I22" s="34">
        <f>VLOOKUP(H22,'Criterios y Ponderaciones'!$D$48:$J$53,7,0)</f>
        <v>1</v>
      </c>
      <c r="J22" s="53" t="s">
        <v>80</v>
      </c>
      <c r="K22" s="34">
        <f>VLOOKUP(J22,'Criterios y Ponderaciones'!$E$48:$J$52,6,0)</f>
        <v>0.25</v>
      </c>
      <c r="L22" s="53" t="s">
        <v>41</v>
      </c>
      <c r="M22" s="34">
        <f>VLOOKUP(L22,'Criterios y Ponderaciones'!$F$53:$G$54,2,0)</f>
        <v>1</v>
      </c>
      <c r="N22" s="53" t="s">
        <v>88</v>
      </c>
      <c r="O22" s="34">
        <f>VLOOKUP(N22,'Criterios y Ponderaciones'!$G$48:$J$52,4,0)</f>
        <v>1</v>
      </c>
      <c r="P22" s="53" t="s">
        <v>41</v>
      </c>
      <c r="Q22" s="34">
        <f>VLOOKUP(P22,'Criterios y Ponderaciones'!$F$53:$G$54,2,0)</f>
        <v>1</v>
      </c>
      <c r="R22" s="58">
        <f t="shared" si="0"/>
        <v>860.22727272727263</v>
      </c>
      <c r="S22" s="68">
        <v>2017</v>
      </c>
      <c r="T22" s="57">
        <v>42736</v>
      </c>
      <c r="U22" s="57">
        <v>43100</v>
      </c>
      <c r="V22" s="54" t="s">
        <v>305</v>
      </c>
      <c r="W22" s="54" t="s">
        <v>682</v>
      </c>
      <c r="X22" s="54" t="s">
        <v>681</v>
      </c>
      <c r="Y22" s="54" t="s">
        <v>9</v>
      </c>
      <c r="Z22" s="54" t="s">
        <v>9</v>
      </c>
      <c r="AA22" s="54" t="s">
        <v>27</v>
      </c>
      <c r="AB22" s="54" t="s">
        <v>15</v>
      </c>
      <c r="AC22" s="54" t="s">
        <v>19</v>
      </c>
      <c r="AD22" s="54" t="s">
        <v>11</v>
      </c>
      <c r="AE22" s="55" t="s">
        <v>311</v>
      </c>
      <c r="AF22" s="55" t="s">
        <v>312</v>
      </c>
    </row>
    <row r="23" spans="1:34" ht="70.5" customHeight="1" x14ac:dyDescent="0.25">
      <c r="A23" s="54" t="s">
        <v>592</v>
      </c>
      <c r="B23" s="54" t="s">
        <v>11</v>
      </c>
      <c r="C23" s="54" t="s">
        <v>98</v>
      </c>
      <c r="D23" s="55" t="s">
        <v>564</v>
      </c>
      <c r="E23" s="55" t="s">
        <v>565</v>
      </c>
      <c r="F23" s="56">
        <v>114120000</v>
      </c>
      <c r="G23" s="62"/>
      <c r="H23" s="53" t="s">
        <v>79</v>
      </c>
      <c r="I23" s="34">
        <f>VLOOKUP(H23,'Criterios y Ponderaciones'!$D$48:$J$53,7,0)</f>
        <v>1</v>
      </c>
      <c r="J23" s="53" t="s">
        <v>82</v>
      </c>
      <c r="K23" s="34">
        <f>VLOOKUP(J23,'Criterios y Ponderaciones'!$E$48:$J$52,6,0)</f>
        <v>0.75</v>
      </c>
      <c r="L23" s="53" t="s">
        <v>41</v>
      </c>
      <c r="M23" s="34">
        <f>VLOOKUP(L23,'Criterios y Ponderaciones'!$F$53:$G$54,2,0)</f>
        <v>1</v>
      </c>
      <c r="N23" s="53" t="s">
        <v>84</v>
      </c>
      <c r="O23" s="34">
        <f>VLOOKUP(N23,'Criterios y Ponderaciones'!$G$48:$J$52,4,0)</f>
        <v>0</v>
      </c>
      <c r="P23" s="53" t="s">
        <v>41</v>
      </c>
      <c r="Q23" s="34">
        <f>VLOOKUP(P23,'Criterios y Ponderaciones'!$F$53:$G$54,2,0)</f>
        <v>1</v>
      </c>
      <c r="R23" s="58">
        <f t="shared" si="0"/>
        <v>767.04545454545462</v>
      </c>
      <c r="S23" s="68">
        <v>2017</v>
      </c>
      <c r="T23" s="57"/>
      <c r="U23" s="57">
        <v>43070</v>
      </c>
      <c r="V23" s="54" t="s">
        <v>572</v>
      </c>
      <c r="W23" s="54" t="s">
        <v>573</v>
      </c>
      <c r="X23" s="54" t="s">
        <v>228</v>
      </c>
      <c r="Y23" s="54" t="s">
        <v>9</v>
      </c>
      <c r="Z23" s="54" t="s">
        <v>9</v>
      </c>
      <c r="AA23" s="54" t="s">
        <v>27</v>
      </c>
      <c r="AB23" s="54" t="s">
        <v>16</v>
      </c>
      <c r="AC23" s="54" t="s">
        <v>19</v>
      </c>
      <c r="AD23" s="54" t="s">
        <v>12</v>
      </c>
      <c r="AE23" s="55" t="s">
        <v>580</v>
      </c>
      <c r="AF23" s="55" t="s">
        <v>579</v>
      </c>
    </row>
    <row r="24" spans="1:34" ht="69.75" customHeight="1" x14ac:dyDescent="0.25">
      <c r="A24" s="54" t="s">
        <v>592</v>
      </c>
      <c r="B24" s="54" t="s">
        <v>11</v>
      </c>
      <c r="C24" s="54" t="s">
        <v>98</v>
      </c>
      <c r="D24" s="55" t="s">
        <v>566</v>
      </c>
      <c r="E24" s="55" t="s">
        <v>567</v>
      </c>
      <c r="F24" s="56">
        <v>3150000</v>
      </c>
      <c r="G24" s="62"/>
      <c r="H24" s="53" t="s">
        <v>79</v>
      </c>
      <c r="I24" s="34">
        <f>VLOOKUP(H24,'Criterios y Ponderaciones'!$D$48:$J$53,7,0)</f>
        <v>1</v>
      </c>
      <c r="J24" s="53" t="s">
        <v>82</v>
      </c>
      <c r="K24" s="34">
        <f>VLOOKUP(J24,'Criterios y Ponderaciones'!$E$48:$J$52,6,0)</f>
        <v>0.75</v>
      </c>
      <c r="L24" s="53" t="s">
        <v>41</v>
      </c>
      <c r="M24" s="34">
        <f>VLOOKUP(L24,'Criterios y Ponderaciones'!$F$53:$G$54,2,0)</f>
        <v>1</v>
      </c>
      <c r="N24" s="53" t="s">
        <v>84</v>
      </c>
      <c r="O24" s="34">
        <f>VLOOKUP(N24,'Criterios y Ponderaciones'!$G$48:$J$52,4,0)</f>
        <v>0</v>
      </c>
      <c r="P24" s="53" t="s">
        <v>41</v>
      </c>
      <c r="Q24" s="34">
        <f>VLOOKUP(P24,'Criterios y Ponderaciones'!$F$53:$G$54,2,0)</f>
        <v>1</v>
      </c>
      <c r="R24" s="58">
        <f t="shared" si="0"/>
        <v>767.04545454545462</v>
      </c>
      <c r="S24" s="68">
        <v>2017</v>
      </c>
      <c r="T24" s="57"/>
      <c r="U24" s="57">
        <v>43070</v>
      </c>
      <c r="V24" s="54" t="s">
        <v>572</v>
      </c>
      <c r="W24" s="54" t="s">
        <v>573</v>
      </c>
      <c r="X24" s="54" t="s">
        <v>228</v>
      </c>
      <c r="Y24" s="54" t="s">
        <v>9</v>
      </c>
      <c r="Z24" s="54" t="s">
        <v>9</v>
      </c>
      <c r="AA24" s="54" t="s">
        <v>13</v>
      </c>
      <c r="AB24" s="54" t="s">
        <v>27</v>
      </c>
      <c r="AC24" s="54" t="s">
        <v>19</v>
      </c>
      <c r="AD24" s="54" t="s">
        <v>12</v>
      </c>
      <c r="AE24" s="55" t="s">
        <v>580</v>
      </c>
      <c r="AF24" s="55" t="s">
        <v>579</v>
      </c>
    </row>
    <row r="25" spans="1:34" ht="108" customHeight="1" x14ac:dyDescent="0.25">
      <c r="A25" s="54" t="s">
        <v>591</v>
      </c>
      <c r="B25" s="54" t="s">
        <v>11</v>
      </c>
      <c r="C25" s="54" t="s">
        <v>98</v>
      </c>
      <c r="D25" s="55" t="s">
        <v>292</v>
      </c>
      <c r="E25" s="55" t="s">
        <v>293</v>
      </c>
      <c r="F25" s="56">
        <v>9875678.53125</v>
      </c>
      <c r="G25" s="62"/>
      <c r="H25" s="53" t="s">
        <v>79</v>
      </c>
      <c r="I25" s="34">
        <f>VLOOKUP(H25,'Criterios y Ponderaciones'!$D$48:$J$53,7,0)</f>
        <v>1</v>
      </c>
      <c r="J25" s="53" t="s">
        <v>83</v>
      </c>
      <c r="K25" s="34">
        <f>VLOOKUP(J25,'Criterios y Ponderaciones'!$E$48:$J$52,6,0)</f>
        <v>1</v>
      </c>
      <c r="L25" s="53" t="s">
        <v>49</v>
      </c>
      <c r="M25" s="34">
        <f>VLOOKUP(L25,'Criterios y Ponderaciones'!$F$53:$G$54,2,0)</f>
        <v>0</v>
      </c>
      <c r="N25" s="53" t="s">
        <v>88</v>
      </c>
      <c r="O25" s="34">
        <f>VLOOKUP(N25,'Criterios y Ponderaciones'!$G$48:$J$52,4,0)</f>
        <v>1</v>
      </c>
      <c r="P25" s="53" t="s">
        <v>41</v>
      </c>
      <c r="Q25" s="34">
        <f>VLOOKUP(P25,'Criterios y Ponderaciones'!$F$53:$G$54,2,0)</f>
        <v>1</v>
      </c>
      <c r="R25" s="58">
        <f t="shared" si="0"/>
        <v>722.72727272727263</v>
      </c>
      <c r="S25" s="68">
        <v>2017</v>
      </c>
      <c r="T25" s="57">
        <v>42736</v>
      </c>
      <c r="U25" s="57">
        <v>42978</v>
      </c>
      <c r="V25" s="54" t="s">
        <v>305</v>
      </c>
      <c r="W25" s="54" t="s">
        <v>306</v>
      </c>
      <c r="X25" s="54" t="s">
        <v>681</v>
      </c>
      <c r="Y25" s="54" t="s">
        <v>9</v>
      </c>
      <c r="Z25" s="54" t="s">
        <v>9</v>
      </c>
      <c r="AA25" s="54" t="s">
        <v>13</v>
      </c>
      <c r="AB25" s="54" t="s">
        <v>15</v>
      </c>
      <c r="AC25" s="54" t="s">
        <v>19</v>
      </c>
      <c r="AD25" s="54" t="s">
        <v>19</v>
      </c>
      <c r="AE25" s="55" t="s">
        <v>308</v>
      </c>
      <c r="AF25" s="55" t="s">
        <v>316</v>
      </c>
    </row>
    <row r="26" spans="1:34" ht="82.5" customHeight="1" x14ac:dyDescent="0.25">
      <c r="A26" s="54" t="s">
        <v>592</v>
      </c>
      <c r="B26" s="54" t="s">
        <v>11</v>
      </c>
      <c r="C26" s="54"/>
      <c r="D26" s="55" t="s">
        <v>581</v>
      </c>
      <c r="E26" s="55" t="s">
        <v>677</v>
      </c>
      <c r="F26" s="56">
        <f>170000000*0.01</f>
        <v>1700000</v>
      </c>
      <c r="G26" s="62"/>
      <c r="H26" s="53" t="s">
        <v>76</v>
      </c>
      <c r="I26" s="34">
        <f>VLOOKUP(H26,'Criterios y Ponderaciones'!$D$48:$J$53,7,0)</f>
        <v>0.25</v>
      </c>
      <c r="J26" s="53" t="s">
        <v>83</v>
      </c>
      <c r="K26" s="34">
        <f>VLOOKUP(J26,'Criterios y Ponderaciones'!$E$48:$J$52,6,0)</f>
        <v>1</v>
      </c>
      <c r="L26" s="53" t="s">
        <v>41</v>
      </c>
      <c r="M26" s="34">
        <f>VLOOKUP(L26,'Criterios y Ponderaciones'!$F$53:$G$54,2,0)</f>
        <v>1</v>
      </c>
      <c r="N26" s="53" t="s">
        <v>84</v>
      </c>
      <c r="O26" s="34">
        <f>VLOOKUP(N26,'Criterios y Ponderaciones'!$G$48:$J$52,4,0)</f>
        <v>0</v>
      </c>
      <c r="P26" s="53" t="s">
        <v>41</v>
      </c>
      <c r="Q26" s="34">
        <f>VLOOKUP(P26,'Criterios y Ponderaciones'!$F$53:$G$54,2,0)</f>
        <v>1</v>
      </c>
      <c r="R26" s="58">
        <f t="shared" si="0"/>
        <v>656.81818181818176</v>
      </c>
      <c r="S26" s="68">
        <v>2017</v>
      </c>
      <c r="T26" s="57"/>
      <c r="U26" s="57">
        <v>43070</v>
      </c>
      <c r="V26" s="54" t="s">
        <v>584</v>
      </c>
      <c r="W26" s="54" t="s">
        <v>585</v>
      </c>
      <c r="X26" s="54" t="s">
        <v>683</v>
      </c>
      <c r="Y26" s="54" t="s">
        <v>9</v>
      </c>
      <c r="Z26" s="54" t="s">
        <v>9</v>
      </c>
      <c r="AA26" s="54" t="s">
        <v>13</v>
      </c>
      <c r="AB26" s="54" t="s">
        <v>16</v>
      </c>
      <c r="AC26" s="54" t="s">
        <v>19</v>
      </c>
      <c r="AD26" s="54" t="s">
        <v>19</v>
      </c>
      <c r="AE26" s="55" t="s">
        <v>583</v>
      </c>
      <c r="AF26" s="55" t="s">
        <v>586</v>
      </c>
    </row>
    <row r="27" spans="1:34" ht="58.5" customHeight="1" x14ac:dyDescent="0.25">
      <c r="A27" s="54" t="s">
        <v>592</v>
      </c>
      <c r="B27" s="54" t="s">
        <v>11</v>
      </c>
      <c r="C27" s="54"/>
      <c r="D27" s="55" t="s">
        <v>582</v>
      </c>
      <c r="E27" s="55" t="s">
        <v>678</v>
      </c>
      <c r="F27" s="56">
        <v>150000</v>
      </c>
      <c r="G27" s="62"/>
      <c r="H27" s="53" t="s">
        <v>76</v>
      </c>
      <c r="I27" s="34">
        <f>VLOOKUP(H27,'Criterios y Ponderaciones'!$D$48:$J$53,7,0)</f>
        <v>0.25</v>
      </c>
      <c r="J27" s="53" t="s">
        <v>83</v>
      </c>
      <c r="K27" s="34">
        <f>VLOOKUP(J27,'Criterios y Ponderaciones'!$E$48:$J$52,6,0)</f>
        <v>1</v>
      </c>
      <c r="L27" s="53" t="s">
        <v>41</v>
      </c>
      <c r="M27" s="34">
        <f>VLOOKUP(L27,'Criterios y Ponderaciones'!$F$53:$G$54,2,0)</f>
        <v>1</v>
      </c>
      <c r="N27" s="53" t="s">
        <v>84</v>
      </c>
      <c r="O27" s="34">
        <f>VLOOKUP(N27,'Criterios y Ponderaciones'!$G$48:$J$52,4,0)</f>
        <v>0</v>
      </c>
      <c r="P27" s="53" t="s">
        <v>41</v>
      </c>
      <c r="Q27" s="34">
        <f>VLOOKUP(P27,'Criterios y Ponderaciones'!$F$53:$G$54,2,0)</f>
        <v>1</v>
      </c>
      <c r="R27" s="58">
        <f t="shared" si="0"/>
        <v>656.81818181818176</v>
      </c>
      <c r="S27" s="68">
        <v>2017</v>
      </c>
      <c r="T27" s="57"/>
      <c r="U27" s="57">
        <v>43070</v>
      </c>
      <c r="V27" s="54" t="s">
        <v>584</v>
      </c>
      <c r="W27" s="54" t="s">
        <v>585</v>
      </c>
      <c r="X27" s="54" t="s">
        <v>683</v>
      </c>
      <c r="Y27" s="54" t="s">
        <v>9</v>
      </c>
      <c r="Z27" s="54" t="s">
        <v>9</v>
      </c>
      <c r="AA27" s="54" t="s">
        <v>14</v>
      </c>
      <c r="AB27" s="54" t="s">
        <v>27</v>
      </c>
      <c r="AC27" s="54" t="s">
        <v>19</v>
      </c>
      <c r="AD27" s="54" t="s">
        <v>19</v>
      </c>
      <c r="AE27" s="55" t="s">
        <v>583</v>
      </c>
      <c r="AF27" s="55" t="s">
        <v>586</v>
      </c>
    </row>
    <row r="28" spans="1:34" ht="104.25" customHeight="1" x14ac:dyDescent="0.25">
      <c r="A28" s="54" t="s">
        <v>592</v>
      </c>
      <c r="B28" s="54" t="s">
        <v>11</v>
      </c>
      <c r="C28" s="54"/>
      <c r="D28" s="55" t="s">
        <v>597</v>
      </c>
      <c r="E28" s="55" t="s">
        <v>598</v>
      </c>
      <c r="F28" s="56">
        <f>(('Montos de Referencia'!$C$4-'Montos de Referencia'!$C$5)*'Montos de Referencia'!$I$3)*1.03</f>
        <v>150838350</v>
      </c>
      <c r="G28" s="55"/>
      <c r="H28" s="53" t="s">
        <v>79</v>
      </c>
      <c r="I28" s="34">
        <f>VLOOKUP(H28,'Criterios y Ponderaciones'!$D$48:$J$53,7,0)</f>
        <v>1</v>
      </c>
      <c r="J28" s="53" t="s">
        <v>81</v>
      </c>
      <c r="K28" s="34">
        <f>VLOOKUP(J28,'Criterios y Ponderaciones'!$E$48:$J$52,6,0)</f>
        <v>0.5</v>
      </c>
      <c r="L28" s="53" t="s">
        <v>41</v>
      </c>
      <c r="M28" s="34">
        <f>VLOOKUP(L28,'Criterios y Ponderaciones'!$F$53:$G$54,2,0)</f>
        <v>1</v>
      </c>
      <c r="N28" s="53" t="s">
        <v>84</v>
      </c>
      <c r="O28" s="34">
        <f>VLOOKUP(N28,'Criterios y Ponderaciones'!$G$48:$J$52,4,0)</f>
        <v>0</v>
      </c>
      <c r="P28" s="53" t="s">
        <v>49</v>
      </c>
      <c r="Q28" s="34">
        <f>VLOOKUP(P28,'Criterios y Ponderaciones'!$F$53:$G$54,2,0)</f>
        <v>0</v>
      </c>
      <c r="R28" s="58">
        <f t="shared" si="0"/>
        <v>579.54545454545462</v>
      </c>
      <c r="S28" s="68">
        <v>2017</v>
      </c>
      <c r="T28" s="57"/>
      <c r="U28" s="57">
        <v>43070</v>
      </c>
      <c r="V28" s="54" t="s">
        <v>568</v>
      </c>
      <c r="W28" s="54" t="s">
        <v>569</v>
      </c>
      <c r="X28" s="54" t="s">
        <v>228</v>
      </c>
      <c r="Y28" s="54" t="s">
        <v>574</v>
      </c>
      <c r="Z28" s="54" t="s">
        <v>575</v>
      </c>
      <c r="AA28" s="54" t="s">
        <v>27</v>
      </c>
      <c r="AB28" s="54" t="s">
        <v>16</v>
      </c>
      <c r="AC28" s="54" t="s">
        <v>19</v>
      </c>
      <c r="AD28" s="54" t="s">
        <v>12</v>
      </c>
      <c r="AE28" s="55" t="s">
        <v>576</v>
      </c>
      <c r="AF28" s="55" t="s">
        <v>577</v>
      </c>
    </row>
    <row r="29" spans="1:34" ht="90.75" customHeight="1" x14ac:dyDescent="0.25">
      <c r="A29" s="54" t="s">
        <v>592</v>
      </c>
      <c r="B29" s="54" t="s">
        <v>11</v>
      </c>
      <c r="C29" s="54"/>
      <c r="D29" s="55" t="s">
        <v>558</v>
      </c>
      <c r="E29" s="55" t="s">
        <v>559</v>
      </c>
      <c r="F29" s="56">
        <v>11970000</v>
      </c>
      <c r="G29" s="55" t="s">
        <v>597</v>
      </c>
      <c r="H29" s="53" t="s">
        <v>79</v>
      </c>
      <c r="I29" s="34">
        <f>VLOOKUP(H29,'Criterios y Ponderaciones'!$D$48:$J$53,7,0)</f>
        <v>1</v>
      </c>
      <c r="J29" s="53" t="s">
        <v>81</v>
      </c>
      <c r="K29" s="34">
        <f>VLOOKUP(J29,'Criterios y Ponderaciones'!$E$48:$J$52,6,0)</f>
        <v>0.5</v>
      </c>
      <c r="L29" s="53" t="s">
        <v>41</v>
      </c>
      <c r="M29" s="34">
        <f>VLOOKUP(L29,'Criterios y Ponderaciones'!$F$53:$G$54,2,0)</f>
        <v>1</v>
      </c>
      <c r="N29" s="53" t="s">
        <v>84</v>
      </c>
      <c r="O29" s="34">
        <f>VLOOKUP(N29,'Criterios y Ponderaciones'!$G$48:$J$52,4,0)</f>
        <v>0</v>
      </c>
      <c r="P29" s="53" t="s">
        <v>49</v>
      </c>
      <c r="Q29" s="34">
        <f>VLOOKUP(P29,'Criterios y Ponderaciones'!$F$53:$G$54,2,0)</f>
        <v>0</v>
      </c>
      <c r="R29" s="58">
        <f t="shared" si="0"/>
        <v>579.54545454545462</v>
      </c>
      <c r="S29" s="68">
        <v>2017</v>
      </c>
      <c r="T29" s="57"/>
      <c r="U29" s="57">
        <v>43070</v>
      </c>
      <c r="V29" s="54" t="s">
        <v>568</v>
      </c>
      <c r="W29" s="54" t="s">
        <v>569</v>
      </c>
      <c r="X29" s="54" t="s">
        <v>228</v>
      </c>
      <c r="Y29" s="54" t="s">
        <v>574</v>
      </c>
      <c r="Z29" s="54" t="s">
        <v>575</v>
      </c>
      <c r="AA29" s="54" t="s">
        <v>13</v>
      </c>
      <c r="AB29" s="54" t="s">
        <v>27</v>
      </c>
      <c r="AC29" s="54" t="s">
        <v>19</v>
      </c>
      <c r="AD29" s="54" t="s">
        <v>12</v>
      </c>
      <c r="AE29" s="55" t="s">
        <v>576</v>
      </c>
      <c r="AF29" s="55" t="s">
        <v>577</v>
      </c>
    </row>
    <row r="30" spans="1:34" ht="71.25" customHeight="1" x14ac:dyDescent="0.25">
      <c r="A30" s="54" t="s">
        <v>592</v>
      </c>
      <c r="B30" s="54" t="s">
        <v>11</v>
      </c>
      <c r="C30" s="54" t="s">
        <v>99</v>
      </c>
      <c r="D30" s="55" t="s">
        <v>355</v>
      </c>
      <c r="E30" s="55" t="s">
        <v>674</v>
      </c>
      <c r="F30" s="56">
        <v>260000000</v>
      </c>
      <c r="G30" s="62"/>
      <c r="H30" s="53" t="s">
        <v>79</v>
      </c>
      <c r="I30" s="34">
        <f>VLOOKUP(H30,'Criterios y Ponderaciones'!$D$48:$J$53,7,0)</f>
        <v>1</v>
      </c>
      <c r="J30" s="53" t="s">
        <v>80</v>
      </c>
      <c r="K30" s="34">
        <f>VLOOKUP(J30,'Criterios y Ponderaciones'!$E$48:$J$52,6,0)</f>
        <v>0.25</v>
      </c>
      <c r="L30" s="53" t="s">
        <v>49</v>
      </c>
      <c r="M30" s="34">
        <f>VLOOKUP(L30,'Criterios y Ponderaciones'!$F$53:$G$54,2,0)</f>
        <v>0</v>
      </c>
      <c r="N30" s="53" t="s">
        <v>86</v>
      </c>
      <c r="O30" s="34">
        <f>VLOOKUP(N30,'Criterios y Ponderaciones'!$G$48:$J$52,4,0)</f>
        <v>0.5</v>
      </c>
      <c r="P30" s="53" t="s">
        <v>41</v>
      </c>
      <c r="Q30" s="34">
        <f>VLOOKUP(P30,'Criterios y Ponderaciones'!$F$53:$G$54,2,0)</f>
        <v>1</v>
      </c>
      <c r="R30" s="58">
        <f t="shared" si="0"/>
        <v>489.77272727272725</v>
      </c>
      <c r="S30" s="68">
        <v>2017</v>
      </c>
      <c r="T30" s="57">
        <f>U30-360</f>
        <v>42740</v>
      </c>
      <c r="U30" s="57">
        <v>43100</v>
      </c>
      <c r="V30" s="54" t="s">
        <v>363</v>
      </c>
      <c r="W30" s="54" t="s">
        <v>398</v>
      </c>
      <c r="X30" s="54" t="s">
        <v>27</v>
      </c>
      <c r="Y30" s="54" t="s">
        <v>27</v>
      </c>
      <c r="Z30" s="54" t="s">
        <v>11</v>
      </c>
      <c r="AA30" s="54" t="s">
        <v>13</v>
      </c>
      <c r="AB30" s="54" t="s">
        <v>27</v>
      </c>
      <c r="AC30" s="54" t="s">
        <v>19</v>
      </c>
      <c r="AD30" s="54" t="s">
        <v>12</v>
      </c>
      <c r="AE30" s="55" t="s">
        <v>365</v>
      </c>
      <c r="AF30" s="55" t="s">
        <v>399</v>
      </c>
    </row>
    <row r="31" spans="1:34" ht="93.75" customHeight="1" x14ac:dyDescent="0.25">
      <c r="A31" s="54" t="s">
        <v>592</v>
      </c>
      <c r="B31" s="54" t="s">
        <v>11</v>
      </c>
      <c r="C31" s="54"/>
      <c r="D31" s="55" t="s">
        <v>284</v>
      </c>
      <c r="E31" s="55" t="s">
        <v>285</v>
      </c>
      <c r="F31" s="56">
        <v>24685947.5625</v>
      </c>
      <c r="G31" s="62"/>
      <c r="H31" s="53" t="s">
        <v>76</v>
      </c>
      <c r="I31" s="34">
        <f>VLOOKUP(H31,'Criterios y Ponderaciones'!$D$48:$J$53,7,0)</f>
        <v>0.25</v>
      </c>
      <c r="J31" s="53" t="s">
        <v>81</v>
      </c>
      <c r="K31" s="34">
        <f>VLOOKUP(J31,'Criterios y Ponderaciones'!$E$48:$J$52,6,0)</f>
        <v>0.5</v>
      </c>
      <c r="L31" s="53" t="s">
        <v>49</v>
      </c>
      <c r="M31" s="34">
        <f>VLOOKUP(L31,'Criterios y Ponderaciones'!$F$53:$G$54,2,0)</f>
        <v>0</v>
      </c>
      <c r="N31" s="53" t="s">
        <v>88</v>
      </c>
      <c r="O31" s="34">
        <f>VLOOKUP(N31,'Criterios y Ponderaciones'!$G$48:$J$52,4,0)</f>
        <v>1</v>
      </c>
      <c r="P31" s="53" t="s">
        <v>41</v>
      </c>
      <c r="Q31" s="34">
        <f>VLOOKUP(P31,'Criterios y Ponderaciones'!$F$53:$G$54,2,0)</f>
        <v>1</v>
      </c>
      <c r="R31" s="58">
        <f t="shared" si="0"/>
        <v>472.72727272727263</v>
      </c>
      <c r="S31" s="68">
        <v>2017</v>
      </c>
      <c r="T31" s="57"/>
      <c r="U31" s="57">
        <v>43040</v>
      </c>
      <c r="V31" s="54" t="s">
        <v>305</v>
      </c>
      <c r="W31" s="54" t="s">
        <v>7</v>
      </c>
      <c r="X31" s="54" t="s">
        <v>681</v>
      </c>
      <c r="Y31" s="54" t="s">
        <v>9</v>
      </c>
      <c r="Z31" s="54"/>
      <c r="AA31" s="54" t="s">
        <v>27</v>
      </c>
      <c r="AB31" s="54" t="s">
        <v>15</v>
      </c>
      <c r="AC31" s="54" t="s">
        <v>12</v>
      </c>
      <c r="AD31" s="54" t="s">
        <v>12</v>
      </c>
      <c r="AE31" s="55" t="s">
        <v>309</v>
      </c>
      <c r="AF31" s="55" t="s">
        <v>310</v>
      </c>
    </row>
    <row r="32" spans="1:34" ht="109.5" customHeight="1" x14ac:dyDescent="0.25">
      <c r="A32" s="54" t="s">
        <v>592</v>
      </c>
      <c r="B32" s="54" t="s">
        <v>11</v>
      </c>
      <c r="C32" s="54" t="s">
        <v>98</v>
      </c>
      <c r="D32" s="55" t="s">
        <v>347</v>
      </c>
      <c r="E32" s="55" t="s">
        <v>348</v>
      </c>
      <c r="F32" s="56">
        <v>36400000</v>
      </c>
      <c r="G32" s="62"/>
      <c r="H32" s="53" t="s">
        <v>78</v>
      </c>
      <c r="I32" s="34">
        <f>VLOOKUP(H32,'Criterios y Ponderaciones'!$D$48:$J$53,7,0)</f>
        <v>0.75</v>
      </c>
      <c r="J32" s="53" t="s">
        <v>80</v>
      </c>
      <c r="K32" s="34">
        <f>VLOOKUP(J32,'Criterios y Ponderaciones'!$E$48:$J$52,6,0)</f>
        <v>0.25</v>
      </c>
      <c r="L32" s="53" t="s">
        <v>49</v>
      </c>
      <c r="M32" s="34">
        <f>VLOOKUP(L32,'Criterios y Ponderaciones'!$F$53:$G$54,2,0)</f>
        <v>0</v>
      </c>
      <c r="N32" s="53" t="s">
        <v>86</v>
      </c>
      <c r="O32" s="34">
        <f>VLOOKUP(N32,'Criterios y Ponderaciones'!$G$48:$J$52,4,0)</f>
        <v>0.5</v>
      </c>
      <c r="P32" s="53" t="s">
        <v>41</v>
      </c>
      <c r="Q32" s="34">
        <f>VLOOKUP(P32,'Criterios y Ponderaciones'!$F$53:$G$54,2,0)</f>
        <v>1</v>
      </c>
      <c r="R32" s="58">
        <f t="shared" si="0"/>
        <v>437.5</v>
      </c>
      <c r="S32" s="68">
        <v>2017</v>
      </c>
      <c r="T32" s="57">
        <f>U32-360</f>
        <v>42740</v>
      </c>
      <c r="U32" s="57">
        <v>43100</v>
      </c>
      <c r="V32" s="54" t="s">
        <v>387</v>
      </c>
      <c r="W32" s="54" t="s">
        <v>388</v>
      </c>
      <c r="X32" s="54" t="s">
        <v>21</v>
      </c>
      <c r="Y32" s="54" t="s">
        <v>9</v>
      </c>
      <c r="Z32" s="54" t="s">
        <v>9</v>
      </c>
      <c r="AA32" s="54" t="s">
        <v>27</v>
      </c>
      <c r="AB32" s="54" t="s">
        <v>16</v>
      </c>
      <c r="AC32" s="54" t="s">
        <v>11</v>
      </c>
      <c r="AD32" s="54" t="s">
        <v>12</v>
      </c>
      <c r="AE32" s="55" t="s">
        <v>374</v>
      </c>
      <c r="AF32" s="55" t="s">
        <v>389</v>
      </c>
    </row>
    <row r="33" spans="1:34" ht="45" x14ac:dyDescent="0.25">
      <c r="A33" s="54" t="s">
        <v>592</v>
      </c>
      <c r="B33" s="54" t="s">
        <v>11</v>
      </c>
      <c r="C33" s="54" t="s">
        <v>98</v>
      </c>
      <c r="D33" s="55" t="s">
        <v>349</v>
      </c>
      <c r="E33" s="55" t="s">
        <v>672</v>
      </c>
      <c r="F33" s="56">
        <f>6000000*1.025</f>
        <v>6149999.9999999991</v>
      </c>
      <c r="G33" s="62"/>
      <c r="H33" s="53" t="s">
        <v>76</v>
      </c>
      <c r="I33" s="34">
        <f>VLOOKUP(H33,'Criterios y Ponderaciones'!$D$48:$J$53,7,0)</f>
        <v>0.25</v>
      </c>
      <c r="J33" s="53" t="s">
        <v>81</v>
      </c>
      <c r="K33" s="34">
        <f>VLOOKUP(J33,'Criterios y Ponderaciones'!$E$48:$J$52,6,0)</f>
        <v>0.5</v>
      </c>
      <c r="L33" s="53" t="s">
        <v>49</v>
      </c>
      <c r="M33" s="34">
        <f>VLOOKUP(L33,'Criterios y Ponderaciones'!$F$53:$G$54,2,0)</f>
        <v>0</v>
      </c>
      <c r="N33" s="53" t="s">
        <v>86</v>
      </c>
      <c r="O33" s="34">
        <f>VLOOKUP(N33,'Criterios y Ponderaciones'!$G$48:$J$52,4,0)</f>
        <v>0.5</v>
      </c>
      <c r="P33" s="53" t="s">
        <v>41</v>
      </c>
      <c r="Q33" s="34">
        <f>VLOOKUP(P33,'Criterios y Ponderaciones'!$F$53:$G$54,2,0)</f>
        <v>1</v>
      </c>
      <c r="R33" s="58">
        <f t="shared" si="0"/>
        <v>379.5454545454545</v>
      </c>
      <c r="S33" s="68">
        <v>2017</v>
      </c>
      <c r="T33" s="57">
        <f>U33-180</f>
        <v>42890</v>
      </c>
      <c r="U33" s="57">
        <v>43070</v>
      </c>
      <c r="V33" s="54" t="s">
        <v>363</v>
      </c>
      <c r="W33" s="54" t="s">
        <v>381</v>
      </c>
      <c r="X33" s="54" t="s">
        <v>12</v>
      </c>
      <c r="Y33" s="54" t="s">
        <v>10</v>
      </c>
      <c r="Z33" s="54" t="s">
        <v>10</v>
      </c>
      <c r="AA33" s="54" t="s">
        <v>27</v>
      </c>
      <c r="AB33" s="54" t="s">
        <v>16</v>
      </c>
      <c r="AC33" s="54" t="s">
        <v>19</v>
      </c>
      <c r="AD33" s="54" t="s">
        <v>12</v>
      </c>
      <c r="AE33" s="55" t="s">
        <v>390</v>
      </c>
      <c r="AF33" s="55" t="s">
        <v>391</v>
      </c>
    </row>
    <row r="34" spans="1:34" ht="150.75" customHeight="1" x14ac:dyDescent="0.25">
      <c r="A34" s="54" t="s">
        <v>592</v>
      </c>
      <c r="B34" s="54" t="s">
        <v>11</v>
      </c>
      <c r="C34" s="54" t="s">
        <v>98</v>
      </c>
      <c r="D34" s="55" t="s">
        <v>349</v>
      </c>
      <c r="E34" s="55" t="s">
        <v>673</v>
      </c>
      <c r="F34" s="56">
        <f>6000000*1.03</f>
        <v>6180000</v>
      </c>
      <c r="G34" s="62"/>
      <c r="H34" s="53" t="s">
        <v>76</v>
      </c>
      <c r="I34" s="34">
        <f>VLOOKUP(H34,'Criterios y Ponderaciones'!$D$48:$J$53,7,0)</f>
        <v>0.25</v>
      </c>
      <c r="J34" s="53" t="s">
        <v>81</v>
      </c>
      <c r="K34" s="34">
        <f>VLOOKUP(J34,'Criterios y Ponderaciones'!$E$48:$J$52,6,0)</f>
        <v>0.5</v>
      </c>
      <c r="L34" s="53" t="s">
        <v>49</v>
      </c>
      <c r="M34" s="34">
        <f>VLOOKUP(L34,'Criterios y Ponderaciones'!$F$53:$G$54,2,0)</f>
        <v>0</v>
      </c>
      <c r="N34" s="53" t="s">
        <v>86</v>
      </c>
      <c r="O34" s="34">
        <f>VLOOKUP(N34,'Criterios y Ponderaciones'!$G$48:$J$52,4,0)</f>
        <v>0.5</v>
      </c>
      <c r="P34" s="53" t="s">
        <v>41</v>
      </c>
      <c r="Q34" s="34">
        <f>VLOOKUP(P34,'Criterios y Ponderaciones'!$F$53:$G$54,2,0)</f>
        <v>1</v>
      </c>
      <c r="R34" s="58">
        <f t="shared" si="0"/>
        <v>379.5454545454545</v>
      </c>
      <c r="S34" s="68">
        <v>2017</v>
      </c>
      <c r="T34" s="57">
        <f>U34-180</f>
        <v>42890</v>
      </c>
      <c r="U34" s="57">
        <v>43070</v>
      </c>
      <c r="V34" s="54" t="s">
        <v>363</v>
      </c>
      <c r="W34" s="54" t="s">
        <v>381</v>
      </c>
      <c r="X34" s="54" t="s">
        <v>12</v>
      </c>
      <c r="Y34" s="54" t="s">
        <v>10</v>
      </c>
      <c r="Z34" s="54" t="s">
        <v>10</v>
      </c>
      <c r="AA34" s="54" t="s">
        <v>27</v>
      </c>
      <c r="AB34" s="54" t="s">
        <v>16</v>
      </c>
      <c r="AC34" s="54" t="s">
        <v>19</v>
      </c>
      <c r="AD34" s="54" t="s">
        <v>12</v>
      </c>
      <c r="AE34" s="55" t="s">
        <v>390</v>
      </c>
      <c r="AF34" s="55" t="s">
        <v>395</v>
      </c>
    </row>
    <row r="35" spans="1:34" ht="189.75" customHeight="1" x14ac:dyDescent="0.25">
      <c r="A35" s="54" t="s">
        <v>592</v>
      </c>
      <c r="B35" s="54" t="s">
        <v>11</v>
      </c>
      <c r="C35" s="54" t="s">
        <v>98</v>
      </c>
      <c r="D35" s="55" t="s">
        <v>588</v>
      </c>
      <c r="E35" s="55" t="s">
        <v>658</v>
      </c>
      <c r="F35" s="56">
        <v>37500000</v>
      </c>
      <c r="G35" s="63"/>
      <c r="H35" s="53" t="s">
        <v>76</v>
      </c>
      <c r="I35" s="34">
        <f>VLOOKUP(H35,'Criterios y Ponderaciones'!$D$48:$J$53,7,0)</f>
        <v>0.25</v>
      </c>
      <c r="J35" s="53" t="s">
        <v>81</v>
      </c>
      <c r="K35" s="34">
        <f>VLOOKUP(J35,'Criterios y Ponderaciones'!$E$48:$J$52,6,0)</f>
        <v>0.5</v>
      </c>
      <c r="L35" s="53" t="s">
        <v>49</v>
      </c>
      <c r="M35" s="34">
        <f>VLOOKUP(L35,'Criterios y Ponderaciones'!$F$53:$G$54,2,0)</f>
        <v>0</v>
      </c>
      <c r="N35" s="53" t="s">
        <v>84</v>
      </c>
      <c r="O35" s="34">
        <f>VLOOKUP(N35,'Criterios y Ponderaciones'!$G$48:$J$52,4,0)</f>
        <v>0</v>
      </c>
      <c r="P35" s="53" t="s">
        <v>41</v>
      </c>
      <c r="Q35" s="34">
        <f>VLOOKUP(P35,'Criterios y Ponderaciones'!$F$53:$G$54,2,0)</f>
        <v>1</v>
      </c>
      <c r="R35" s="58">
        <f t="shared" si="0"/>
        <v>286.36363636363637</v>
      </c>
      <c r="S35" s="68">
        <v>2017</v>
      </c>
      <c r="T35" s="57"/>
      <c r="U35" s="57">
        <v>43070</v>
      </c>
      <c r="V35" s="54" t="s">
        <v>553</v>
      </c>
      <c r="W35" s="54" t="s">
        <v>8</v>
      </c>
      <c r="X35" s="54" t="s">
        <v>12</v>
      </c>
      <c r="Y35" s="54" t="s">
        <v>12</v>
      </c>
      <c r="Z35" s="54" t="s">
        <v>12</v>
      </c>
      <c r="AA35" s="54" t="s">
        <v>27</v>
      </c>
      <c r="AB35" s="54" t="s">
        <v>16</v>
      </c>
      <c r="AC35" s="54" t="s">
        <v>12</v>
      </c>
      <c r="AD35" s="54" t="s">
        <v>12</v>
      </c>
      <c r="AE35" s="55" t="s">
        <v>608</v>
      </c>
      <c r="AF35" s="55" t="s">
        <v>554</v>
      </c>
    </row>
    <row r="36" spans="1:34" ht="129" customHeight="1" x14ac:dyDescent="0.25">
      <c r="A36" s="54" t="s">
        <v>592</v>
      </c>
      <c r="B36" s="54" t="s">
        <v>11</v>
      </c>
      <c r="C36" s="54"/>
      <c r="D36" s="55" t="s">
        <v>282</v>
      </c>
      <c r="E36" s="55" t="s">
        <v>283</v>
      </c>
      <c r="F36" s="56">
        <v>15238564.1625</v>
      </c>
      <c r="G36" s="62"/>
      <c r="H36" s="53" t="s">
        <v>79</v>
      </c>
      <c r="I36" s="34">
        <f>VLOOKUP(H36,'Criterios y Ponderaciones'!$D$48:$J$53,7,0)</f>
        <v>1</v>
      </c>
      <c r="J36" s="53" t="s">
        <v>80</v>
      </c>
      <c r="K36" s="34">
        <f>VLOOKUP(J36,'Criterios y Ponderaciones'!$E$48:$J$52,6,0)</f>
        <v>0.25</v>
      </c>
      <c r="L36" s="53" t="s">
        <v>49</v>
      </c>
      <c r="M36" s="34">
        <f>VLOOKUP(L36,'Criterios y Ponderaciones'!$F$53:$G$54,2,0)</f>
        <v>0</v>
      </c>
      <c r="N36" s="53" t="s">
        <v>84</v>
      </c>
      <c r="O36" s="34">
        <f>VLOOKUP(N36,'Criterios y Ponderaciones'!$G$48:$J$52,4,0)</f>
        <v>0</v>
      </c>
      <c r="P36" s="53" t="s">
        <v>49</v>
      </c>
      <c r="Q36" s="34">
        <f>VLOOKUP(P36,'Criterios y Ponderaciones'!$F$53:$G$54,2,0)</f>
        <v>0</v>
      </c>
      <c r="R36" s="58">
        <f t="shared" si="0"/>
        <v>255.68181818181819</v>
      </c>
      <c r="S36" s="68">
        <v>2017</v>
      </c>
      <c r="T36" s="57">
        <v>42826</v>
      </c>
      <c r="U36" s="57">
        <v>43039</v>
      </c>
      <c r="V36" s="54" t="s">
        <v>305</v>
      </c>
      <c r="W36" s="54" t="s">
        <v>306</v>
      </c>
      <c r="X36" s="54" t="s">
        <v>681</v>
      </c>
      <c r="Y36" s="54" t="s">
        <v>9</v>
      </c>
      <c r="Z36" s="54" t="s">
        <v>9</v>
      </c>
      <c r="AA36" s="54" t="s">
        <v>13</v>
      </c>
      <c r="AB36" s="54" t="s">
        <v>307</v>
      </c>
      <c r="AC36" s="54" t="s">
        <v>19</v>
      </c>
      <c r="AD36" s="54" t="s">
        <v>19</v>
      </c>
      <c r="AE36" s="55" t="s">
        <v>308</v>
      </c>
      <c r="AF36" s="55"/>
    </row>
    <row r="37" spans="1:34" ht="135" customHeight="1" x14ac:dyDescent="0.25">
      <c r="A37" s="54" t="s">
        <v>592</v>
      </c>
      <c r="B37" s="54" t="s">
        <v>11</v>
      </c>
      <c r="C37" s="54" t="s">
        <v>98</v>
      </c>
      <c r="D37" s="55" t="s">
        <v>294</v>
      </c>
      <c r="E37" s="55" t="s">
        <v>295</v>
      </c>
      <c r="F37" s="119">
        <v>252424648.32374999</v>
      </c>
      <c r="G37" s="62"/>
      <c r="H37" s="53" t="s">
        <v>79</v>
      </c>
      <c r="I37" s="34">
        <f>VLOOKUP(H37,'Criterios y Ponderaciones'!$D$48:$J$53,7,0)</f>
        <v>1</v>
      </c>
      <c r="J37" s="53" t="s">
        <v>80</v>
      </c>
      <c r="K37" s="34">
        <f>VLOOKUP(J37,'Criterios y Ponderaciones'!$E$48:$J$52,6,0)</f>
        <v>0.25</v>
      </c>
      <c r="L37" s="53" t="s">
        <v>41</v>
      </c>
      <c r="M37" s="34">
        <f>VLOOKUP(L37,'Criterios y Ponderaciones'!$F$53:$G$54,2,0)</f>
        <v>1</v>
      </c>
      <c r="N37" s="53" t="s">
        <v>85</v>
      </c>
      <c r="O37" s="34">
        <f>VLOOKUP(N37,'Criterios y Ponderaciones'!$G$48:$J$52,4,0)</f>
        <v>0.25</v>
      </c>
      <c r="P37" s="53" t="s">
        <v>41</v>
      </c>
      <c r="Q37" s="34">
        <f>VLOOKUP(P37,'Criterios y Ponderaciones'!$F$53:$G$54,2,0)</f>
        <v>1</v>
      </c>
      <c r="R37" s="58">
        <f>(I37*$I$3+K37*$K$3+M37*$M$3+O37*$O$3+Q37*$Q$3)*1000</f>
        <v>720.4545454545455</v>
      </c>
      <c r="S37" s="68">
        <v>2018</v>
      </c>
      <c r="T37" s="57">
        <v>42736</v>
      </c>
      <c r="U37" s="57">
        <v>43465</v>
      </c>
      <c r="V37" s="54" t="s">
        <v>305</v>
      </c>
      <c r="W37" s="54" t="s">
        <v>703</v>
      </c>
      <c r="X37" s="54" t="s">
        <v>681</v>
      </c>
      <c r="Y37" s="54" t="s">
        <v>9</v>
      </c>
      <c r="Z37" s="54" t="s">
        <v>12</v>
      </c>
      <c r="AA37" s="54" t="s">
        <v>13</v>
      </c>
      <c r="AB37" s="54" t="s">
        <v>17</v>
      </c>
      <c r="AC37" s="54" t="s">
        <v>12</v>
      </c>
      <c r="AD37" s="54" t="s">
        <v>12</v>
      </c>
      <c r="AE37" s="55" t="s">
        <v>317</v>
      </c>
      <c r="AF37" s="55" t="s">
        <v>704</v>
      </c>
    </row>
    <row r="38" spans="1:34" ht="93" customHeight="1" x14ac:dyDescent="0.25">
      <c r="A38" s="54" t="s">
        <v>592</v>
      </c>
      <c r="B38" s="54" t="s">
        <v>11</v>
      </c>
      <c r="C38" s="54" t="s">
        <v>98</v>
      </c>
      <c r="D38" s="55" t="s">
        <v>427</v>
      </c>
      <c r="E38" s="55" t="s">
        <v>676</v>
      </c>
      <c r="F38" s="56">
        <f>(6000000*1.045+'Montos de Referencia'!$C$5*'Montos de Referencia'!$I$3)*2</f>
        <v>51592000</v>
      </c>
      <c r="G38" s="62">
        <v>0</v>
      </c>
      <c r="H38" s="53" t="s">
        <v>76</v>
      </c>
      <c r="I38" s="34">
        <f>VLOOKUP(H38,'Criterios y Ponderaciones'!$D$48:$J$53,7,0)</f>
        <v>0.25</v>
      </c>
      <c r="J38" s="53" t="s">
        <v>83</v>
      </c>
      <c r="K38" s="34">
        <f>VLOOKUP(J38,'Criterios y Ponderaciones'!$E$48:$J$52,6,0)</f>
        <v>1</v>
      </c>
      <c r="L38" s="53" t="s">
        <v>41</v>
      </c>
      <c r="M38" s="34">
        <f>VLOOKUP(L38,'Criterios y Ponderaciones'!$F$53:$G$54,2,0)</f>
        <v>1</v>
      </c>
      <c r="N38" s="53" t="s">
        <v>84</v>
      </c>
      <c r="O38" s="34">
        <f>VLOOKUP(N38,'Criterios y Ponderaciones'!$G$48:$J$52,4,0)</f>
        <v>0</v>
      </c>
      <c r="P38" s="53" t="s">
        <v>41</v>
      </c>
      <c r="Q38" s="34">
        <f>VLOOKUP(P38,'Criterios y Ponderaciones'!$F$53:$G$54,2,0)</f>
        <v>1</v>
      </c>
      <c r="R38" s="58">
        <f t="shared" si="0"/>
        <v>656.81818181818176</v>
      </c>
      <c r="S38" s="68">
        <v>2018</v>
      </c>
      <c r="T38" s="57">
        <f>U38-540</f>
        <v>42895</v>
      </c>
      <c r="U38" s="57">
        <v>43435</v>
      </c>
      <c r="V38" s="54" t="s">
        <v>446</v>
      </c>
      <c r="W38" s="54" t="s">
        <v>472</v>
      </c>
      <c r="X38" s="54" t="s">
        <v>228</v>
      </c>
      <c r="Y38" s="54" t="s">
        <v>9</v>
      </c>
      <c r="Z38" s="54" t="s">
        <v>12</v>
      </c>
      <c r="AA38" s="54" t="s">
        <v>443</v>
      </c>
      <c r="AB38" s="54" t="s">
        <v>16</v>
      </c>
      <c r="AC38" s="54" t="s">
        <v>12</v>
      </c>
      <c r="AD38" s="54" t="s">
        <v>12</v>
      </c>
      <c r="AE38" s="55" t="s">
        <v>473</v>
      </c>
      <c r="AF38" s="55" t="s">
        <v>474</v>
      </c>
    </row>
    <row r="39" spans="1:34" ht="85.5" customHeight="1" x14ac:dyDescent="0.25">
      <c r="A39" s="54" t="s">
        <v>592</v>
      </c>
      <c r="B39" s="54" t="s">
        <v>11</v>
      </c>
      <c r="C39" s="54"/>
      <c r="D39" s="55" t="s">
        <v>560</v>
      </c>
      <c r="E39" s="55" t="s">
        <v>561</v>
      </c>
      <c r="F39" s="56">
        <f>(('Montos de Referencia'!$C$4-'Montos de Referencia'!$C$5)*'Montos de Referencia'!$I$3)*1.01</f>
        <v>147909450</v>
      </c>
      <c r="G39" s="62"/>
      <c r="H39" s="53" t="s">
        <v>77</v>
      </c>
      <c r="I39" s="34">
        <f>VLOOKUP(H39,'Criterios y Ponderaciones'!$D$48:$J$53,7,0)</f>
        <v>0.5</v>
      </c>
      <c r="J39" s="53" t="s">
        <v>80</v>
      </c>
      <c r="K39" s="34">
        <f>VLOOKUP(J39,'Criterios y Ponderaciones'!$E$48:$J$52,6,0)</f>
        <v>0.25</v>
      </c>
      <c r="L39" s="53" t="s">
        <v>41</v>
      </c>
      <c r="M39" s="34">
        <f>VLOOKUP(L39,'Criterios y Ponderaciones'!$F$53:$G$54,2,0)</f>
        <v>1</v>
      </c>
      <c r="N39" s="53" t="s">
        <v>84</v>
      </c>
      <c r="O39" s="34">
        <f>VLOOKUP(N39,'Criterios y Ponderaciones'!$G$48:$J$52,4,0)</f>
        <v>0</v>
      </c>
      <c r="P39" s="53" t="s">
        <v>41</v>
      </c>
      <c r="Q39" s="34">
        <f>VLOOKUP(P39,'Criterios y Ponderaciones'!$F$53:$G$54,2,0)</f>
        <v>1</v>
      </c>
      <c r="R39" s="58">
        <f t="shared" si="0"/>
        <v>569.31818181818187</v>
      </c>
      <c r="S39" s="68">
        <v>2018</v>
      </c>
      <c r="T39" s="57"/>
      <c r="U39" s="57">
        <v>43252</v>
      </c>
      <c r="V39" s="54" t="s">
        <v>570</v>
      </c>
      <c r="W39" s="54" t="s">
        <v>571</v>
      </c>
      <c r="X39" s="54" t="s">
        <v>21</v>
      </c>
      <c r="Y39" s="54" t="s">
        <v>9</v>
      </c>
      <c r="Z39" s="54" t="s">
        <v>9</v>
      </c>
      <c r="AA39" s="54" t="s">
        <v>27</v>
      </c>
      <c r="AB39" s="54" t="s">
        <v>16</v>
      </c>
      <c r="AC39" s="54" t="s">
        <v>11</v>
      </c>
      <c r="AD39" s="54" t="s">
        <v>12</v>
      </c>
      <c r="AE39" s="55" t="s">
        <v>578</v>
      </c>
      <c r="AF39" s="55" t="s">
        <v>579</v>
      </c>
    </row>
    <row r="40" spans="1:34" ht="105" x14ac:dyDescent="0.25">
      <c r="A40" s="54" t="s">
        <v>592</v>
      </c>
      <c r="B40" s="54" t="s">
        <v>11</v>
      </c>
      <c r="C40" s="54"/>
      <c r="D40" s="55" t="s">
        <v>562</v>
      </c>
      <c r="E40" s="55" t="s">
        <v>563</v>
      </c>
      <c r="F40" s="56">
        <v>33300000</v>
      </c>
      <c r="G40" s="62"/>
      <c r="H40" s="53" t="s">
        <v>77</v>
      </c>
      <c r="I40" s="34">
        <f>VLOOKUP(H40,'Criterios y Ponderaciones'!$D$48:$J$53,7,0)</f>
        <v>0.5</v>
      </c>
      <c r="J40" s="53" t="s">
        <v>80</v>
      </c>
      <c r="K40" s="34">
        <f>VLOOKUP(J40,'Criterios y Ponderaciones'!$E$48:$J$52,6,0)</f>
        <v>0.25</v>
      </c>
      <c r="L40" s="53" t="s">
        <v>41</v>
      </c>
      <c r="M40" s="34">
        <f>VLOOKUP(L40,'Criterios y Ponderaciones'!$F$53:$G$54,2,0)</f>
        <v>1</v>
      </c>
      <c r="N40" s="53" t="s">
        <v>84</v>
      </c>
      <c r="O40" s="34">
        <f>VLOOKUP(N40,'Criterios y Ponderaciones'!$G$48:$J$52,4,0)</f>
        <v>0</v>
      </c>
      <c r="P40" s="53" t="s">
        <v>41</v>
      </c>
      <c r="Q40" s="34">
        <f>VLOOKUP(P40,'Criterios y Ponderaciones'!$F$53:$G$54,2,0)</f>
        <v>1</v>
      </c>
      <c r="R40" s="58">
        <f t="shared" si="0"/>
        <v>569.31818181818187</v>
      </c>
      <c r="S40" s="68">
        <v>2018</v>
      </c>
      <c r="T40" s="57"/>
      <c r="U40" s="57">
        <v>43252</v>
      </c>
      <c r="V40" s="54" t="s">
        <v>570</v>
      </c>
      <c r="W40" s="54" t="s">
        <v>571</v>
      </c>
      <c r="X40" s="54" t="s">
        <v>21</v>
      </c>
      <c r="Y40" s="54" t="s">
        <v>9</v>
      </c>
      <c r="Z40" s="54" t="s">
        <v>9</v>
      </c>
      <c r="AA40" s="54" t="s">
        <v>13</v>
      </c>
      <c r="AB40" s="54" t="s">
        <v>27</v>
      </c>
      <c r="AC40" s="54" t="s">
        <v>11</v>
      </c>
      <c r="AD40" s="54" t="s">
        <v>12</v>
      </c>
      <c r="AE40" s="55" t="s">
        <v>578</v>
      </c>
      <c r="AF40" s="55" t="s">
        <v>579</v>
      </c>
    </row>
    <row r="41" spans="1:34" ht="115.5" customHeight="1" thickBot="1" x14ac:dyDescent="0.3">
      <c r="A41" s="54" t="s">
        <v>592</v>
      </c>
      <c r="B41" s="54" t="s">
        <v>11</v>
      </c>
      <c r="C41" s="54" t="s">
        <v>98</v>
      </c>
      <c r="D41" s="55" t="s">
        <v>136</v>
      </c>
      <c r="E41" s="55" t="s">
        <v>654</v>
      </c>
      <c r="F41" s="56">
        <v>39500000</v>
      </c>
      <c r="G41" s="63"/>
      <c r="H41" s="53" t="s">
        <v>77</v>
      </c>
      <c r="I41" s="34">
        <f>VLOOKUP(H41,'Criterios y Ponderaciones'!$D$48:$J$53,7,0)</f>
        <v>0.5</v>
      </c>
      <c r="J41" s="53" t="s">
        <v>83</v>
      </c>
      <c r="K41" s="34">
        <f>VLOOKUP(J41,'Criterios y Ponderaciones'!$E$48:$J$52,6,0)</f>
        <v>1</v>
      </c>
      <c r="L41" s="53" t="s">
        <v>49</v>
      </c>
      <c r="M41" s="34">
        <f>VLOOKUP(L41,'Criterios y Ponderaciones'!$F$53:$G$54,2,0)</f>
        <v>0</v>
      </c>
      <c r="N41" s="53" t="s">
        <v>84</v>
      </c>
      <c r="O41" s="34">
        <f>VLOOKUP(N41,'Criterios y Ponderaciones'!$G$48:$J$52,4,0)</f>
        <v>0</v>
      </c>
      <c r="P41" s="53" t="s">
        <v>41</v>
      </c>
      <c r="Q41" s="34">
        <f>VLOOKUP(P41,'Criterios y Ponderaciones'!$F$53:$G$54,2,0)</f>
        <v>1</v>
      </c>
      <c r="R41" s="58">
        <f t="shared" si="0"/>
        <v>431.81818181818176</v>
      </c>
      <c r="S41" s="68">
        <v>2018</v>
      </c>
      <c r="T41" s="57">
        <v>42766</v>
      </c>
      <c r="U41" s="57">
        <f>+T41+540</f>
        <v>43306</v>
      </c>
      <c r="V41" s="54" t="s">
        <v>230</v>
      </c>
      <c r="W41" s="54" t="s">
        <v>73</v>
      </c>
      <c r="X41" s="54" t="s">
        <v>228</v>
      </c>
      <c r="Y41" s="54" t="s">
        <v>9</v>
      </c>
      <c r="Z41" s="54" t="s">
        <v>9</v>
      </c>
      <c r="AA41" s="54" t="s">
        <v>27</v>
      </c>
      <c r="AB41" s="54" t="s">
        <v>15</v>
      </c>
      <c r="AC41" s="54" t="s">
        <v>19</v>
      </c>
      <c r="AD41" s="54" t="s">
        <v>12</v>
      </c>
      <c r="AE41" s="55" t="s">
        <v>650</v>
      </c>
      <c r="AF41" s="55" t="s">
        <v>229</v>
      </c>
    </row>
    <row r="42" spans="1:34" s="75" customFormat="1" ht="28.5" customHeight="1" thickBot="1" x14ac:dyDescent="0.3">
      <c r="A42" s="96"/>
      <c r="B42" s="97"/>
      <c r="C42" s="97"/>
      <c r="D42" s="98"/>
      <c r="E42" s="98"/>
      <c r="F42" s="116">
        <f>SUM(F20:F41)</f>
        <v>1384719707.4223914</v>
      </c>
      <c r="G42" s="99"/>
      <c r="H42" s="100"/>
      <c r="I42" s="101"/>
      <c r="J42" s="100"/>
      <c r="K42" s="101"/>
      <c r="L42" s="100"/>
      <c r="M42" s="101"/>
      <c r="N42" s="100"/>
      <c r="O42" s="101"/>
      <c r="P42" s="100"/>
      <c r="Q42" s="101"/>
      <c r="R42" s="102"/>
      <c r="S42" s="103"/>
      <c r="T42" s="104"/>
      <c r="U42" s="104"/>
      <c r="V42" s="97"/>
      <c r="W42" s="97"/>
      <c r="X42" s="97"/>
      <c r="Y42" s="97"/>
      <c r="Z42" s="97"/>
      <c r="AA42" s="97"/>
      <c r="AB42" s="97"/>
      <c r="AC42" s="97"/>
      <c r="AD42" s="97"/>
      <c r="AE42" s="98"/>
      <c r="AF42" s="105"/>
      <c r="AH42" s="76"/>
    </row>
    <row r="43" spans="1:34" s="75" customFormat="1" ht="28.5" customHeight="1" thickBot="1" x14ac:dyDescent="0.3">
      <c r="A43" s="106"/>
      <c r="B43" s="107"/>
      <c r="C43" s="107"/>
      <c r="D43" s="108"/>
      <c r="E43" s="108"/>
      <c r="F43" s="117">
        <f>+F42/'Montos de Referencia'!$I$3</f>
        <v>92191724.8616772</v>
      </c>
      <c r="G43" s="109"/>
      <c r="H43" s="110"/>
      <c r="I43" s="111"/>
      <c r="J43" s="110"/>
      <c r="K43" s="111"/>
      <c r="L43" s="110"/>
      <c r="M43" s="111"/>
      <c r="N43" s="110"/>
      <c r="O43" s="111"/>
      <c r="P43" s="110"/>
      <c r="Q43" s="111"/>
      <c r="R43" s="112"/>
      <c r="S43" s="113"/>
      <c r="T43" s="114"/>
      <c r="U43" s="114"/>
      <c r="V43" s="107"/>
      <c r="W43" s="107"/>
      <c r="X43" s="107"/>
      <c r="Y43" s="107"/>
      <c r="Z43" s="107"/>
      <c r="AA43" s="107"/>
      <c r="AB43" s="107"/>
      <c r="AC43" s="107"/>
      <c r="AD43" s="107"/>
      <c r="AE43" s="108"/>
      <c r="AF43" s="115"/>
      <c r="AH43" s="76"/>
    </row>
    <row r="44" spans="1:34" s="75" customFormat="1" ht="6.75" customHeight="1" x14ac:dyDescent="0.25">
      <c r="A44" s="79"/>
      <c r="B44" s="80"/>
      <c r="C44" s="80"/>
      <c r="D44" s="81"/>
      <c r="E44" s="81"/>
      <c r="F44" s="82"/>
      <c r="G44" s="83"/>
      <c r="H44" s="84"/>
      <c r="I44" s="85"/>
      <c r="J44" s="84"/>
      <c r="K44" s="85"/>
      <c r="L44" s="84"/>
      <c r="M44" s="85"/>
      <c r="N44" s="84"/>
      <c r="O44" s="85"/>
      <c r="P44" s="84"/>
      <c r="Q44" s="85"/>
      <c r="R44" s="86"/>
      <c r="S44" s="87"/>
      <c r="T44" s="88"/>
      <c r="U44" s="88"/>
      <c r="V44" s="80"/>
      <c r="W44" s="80"/>
      <c r="X44" s="80"/>
      <c r="Y44" s="80"/>
      <c r="Z44" s="80"/>
      <c r="AA44" s="80"/>
      <c r="AB44" s="80"/>
      <c r="AC44" s="80"/>
      <c r="AD44" s="80"/>
      <c r="AE44" s="81"/>
      <c r="AF44" s="89"/>
      <c r="AH44" s="76"/>
    </row>
    <row r="45" spans="1:34" s="73" customFormat="1" x14ac:dyDescent="0.25">
      <c r="A45" s="188" t="s">
        <v>593</v>
      </c>
      <c r="B45" s="188" t="s">
        <v>594</v>
      </c>
      <c r="C45" s="188" t="s">
        <v>32</v>
      </c>
      <c r="D45" s="188" t="s">
        <v>0</v>
      </c>
      <c r="E45" s="169" t="s">
        <v>1</v>
      </c>
      <c r="F45" s="190" t="s">
        <v>28</v>
      </c>
      <c r="G45" s="188" t="s">
        <v>31</v>
      </c>
      <c r="H45" s="186" t="s">
        <v>64</v>
      </c>
      <c r="I45" s="187"/>
      <c r="J45" s="187"/>
      <c r="K45" s="187"/>
      <c r="L45" s="187"/>
      <c r="M45" s="187"/>
      <c r="N45" s="187"/>
      <c r="O45" s="187"/>
      <c r="P45" s="187"/>
      <c r="Q45" s="187"/>
      <c r="R45" s="191" t="s">
        <v>70</v>
      </c>
      <c r="S45" s="169" t="s">
        <v>671</v>
      </c>
      <c r="T45" s="169" t="s">
        <v>605</v>
      </c>
      <c r="U45" s="169" t="s">
        <v>603</v>
      </c>
      <c r="V45" s="188" t="s">
        <v>25</v>
      </c>
      <c r="W45" s="91" t="s">
        <v>29</v>
      </c>
      <c r="X45" s="90"/>
      <c r="Y45" s="90"/>
      <c r="Z45" s="90"/>
      <c r="AA45" s="90"/>
      <c r="AB45" s="90"/>
      <c r="AC45" s="90"/>
      <c r="AD45" s="92"/>
      <c r="AE45" s="182" t="s">
        <v>89</v>
      </c>
      <c r="AF45" s="183"/>
      <c r="AH45" s="74"/>
    </row>
    <row r="46" spans="1:34" s="1" customFormat="1" x14ac:dyDescent="0.25">
      <c r="A46" s="189"/>
      <c r="B46" s="189"/>
      <c r="C46" s="189"/>
      <c r="D46" s="189"/>
      <c r="E46" s="169"/>
      <c r="F46" s="169"/>
      <c r="G46" s="189"/>
      <c r="H46" s="186" t="s">
        <v>65</v>
      </c>
      <c r="I46" s="194"/>
      <c r="J46" s="186" t="s">
        <v>66</v>
      </c>
      <c r="K46" s="194"/>
      <c r="L46" s="186" t="s">
        <v>67</v>
      </c>
      <c r="M46" s="194"/>
      <c r="N46" s="186" t="s">
        <v>68</v>
      </c>
      <c r="O46" s="194"/>
      <c r="P46" s="186" t="s">
        <v>69</v>
      </c>
      <c r="Q46" s="194"/>
      <c r="R46" s="192"/>
      <c r="S46" s="169"/>
      <c r="T46" s="169"/>
      <c r="U46" s="169"/>
      <c r="V46" s="189"/>
      <c r="W46" s="188" t="s">
        <v>2</v>
      </c>
      <c r="X46" s="182" t="s">
        <v>20</v>
      </c>
      <c r="Y46" s="183"/>
      <c r="Z46" s="188" t="s">
        <v>3</v>
      </c>
      <c r="AA46" s="188" t="s">
        <v>5</v>
      </c>
      <c r="AB46" s="188" t="s">
        <v>6</v>
      </c>
      <c r="AC46" s="188" t="s">
        <v>18</v>
      </c>
      <c r="AD46" s="188" t="s">
        <v>22</v>
      </c>
      <c r="AE46" s="188" t="s">
        <v>23</v>
      </c>
      <c r="AF46" s="188" t="s">
        <v>24</v>
      </c>
      <c r="AH46" s="4"/>
    </row>
    <row r="47" spans="1:34" ht="66" customHeight="1" x14ac:dyDescent="0.25">
      <c r="A47" s="189"/>
      <c r="B47" s="190"/>
      <c r="C47" s="189" t="s">
        <v>30</v>
      </c>
      <c r="D47" s="189"/>
      <c r="E47" s="188"/>
      <c r="F47" s="188"/>
      <c r="G47" s="190"/>
      <c r="H47" s="93" t="s">
        <v>104</v>
      </c>
      <c r="I47" s="93">
        <f>+'Criterios y Ponderaciones'!B68</f>
        <v>0</v>
      </c>
      <c r="J47" s="93" t="s">
        <v>689</v>
      </c>
      <c r="K47" s="93">
        <f>+'Criterios y Ponderaciones'!B69</f>
        <v>0</v>
      </c>
      <c r="L47" s="93" t="s">
        <v>106</v>
      </c>
      <c r="M47" s="93">
        <f>+'Criterios y Ponderaciones'!B70</f>
        <v>0</v>
      </c>
      <c r="N47" s="93" t="s">
        <v>107</v>
      </c>
      <c r="O47" s="93">
        <f>+'Criterios y Ponderaciones'!B71</f>
        <v>0</v>
      </c>
      <c r="P47" s="93" t="s">
        <v>108</v>
      </c>
      <c r="Q47" s="93">
        <f>+'Criterios y Ponderaciones'!B72</f>
        <v>0</v>
      </c>
      <c r="R47" s="193"/>
      <c r="S47" s="188"/>
      <c r="T47" s="188"/>
      <c r="U47" s="188"/>
      <c r="V47" s="189"/>
      <c r="W47" s="189"/>
      <c r="X47" s="94" t="s">
        <v>26</v>
      </c>
      <c r="Y47" s="95" t="s">
        <v>4</v>
      </c>
      <c r="Z47" s="189"/>
      <c r="AA47" s="189"/>
      <c r="AB47" s="189"/>
      <c r="AC47" s="189"/>
      <c r="AD47" s="189"/>
      <c r="AE47" s="189"/>
      <c r="AF47" s="189"/>
    </row>
    <row r="48" spans="1:34" ht="84" customHeight="1" x14ac:dyDescent="0.25">
      <c r="A48" s="54" t="s">
        <v>592</v>
      </c>
      <c r="B48" s="54"/>
      <c r="C48" s="54" t="s">
        <v>98</v>
      </c>
      <c r="D48" s="55" t="s">
        <v>137</v>
      </c>
      <c r="E48" s="55" t="s">
        <v>655</v>
      </c>
      <c r="F48" s="56">
        <f>('Montos de Referencia'!$C$5*'Montos de Referencia'!$I$3)+60000000</f>
        <v>79526000</v>
      </c>
      <c r="G48" s="63"/>
      <c r="H48" s="53" t="s">
        <v>79</v>
      </c>
      <c r="I48" s="34">
        <f>VLOOKUP(H48,'Criterios y Ponderaciones'!$D$48:$J$53,7,0)</f>
        <v>1</v>
      </c>
      <c r="J48" s="53" t="s">
        <v>83</v>
      </c>
      <c r="K48" s="34">
        <f>VLOOKUP(J48,'Criterios y Ponderaciones'!$E$48:$J$52,6,0)</f>
        <v>1</v>
      </c>
      <c r="L48" s="53" t="s">
        <v>41</v>
      </c>
      <c r="M48" s="34">
        <f>VLOOKUP(L48,'Criterios y Ponderaciones'!$F$53:$G$54,2,0)</f>
        <v>1</v>
      </c>
      <c r="N48" s="53" t="s">
        <v>85</v>
      </c>
      <c r="O48" s="34">
        <f>VLOOKUP(N48,'Criterios y Ponderaciones'!$G$48:$J$52,4,0)</f>
        <v>0.25</v>
      </c>
      <c r="P48" s="53" t="s">
        <v>41</v>
      </c>
      <c r="Q48" s="34">
        <f>VLOOKUP(P48,'Criterios y Ponderaciones'!$F$53:$G$54,2,0)</f>
        <v>1</v>
      </c>
      <c r="R48" s="58">
        <f t="shared" ref="R48:R55" si="1">(I48*$I$3+K48*$K$3+M48*$M$3+O48*$O$3+Q48*$Q$3)*1000</f>
        <v>860.22727272727275</v>
      </c>
      <c r="S48" s="68">
        <v>2017</v>
      </c>
      <c r="T48" s="57">
        <v>42736</v>
      </c>
      <c r="U48" s="57">
        <f>+T48+360</f>
        <v>43096</v>
      </c>
      <c r="V48" s="54" t="s">
        <v>226</v>
      </c>
      <c r="W48" s="54" t="s">
        <v>7</v>
      </c>
      <c r="X48" s="54" t="s">
        <v>12</v>
      </c>
      <c r="Y48" s="54" t="s">
        <v>12</v>
      </c>
      <c r="Z48" s="54" t="s">
        <v>12</v>
      </c>
      <c r="AA48" s="54" t="s">
        <v>27</v>
      </c>
      <c r="AB48" s="54" t="s">
        <v>15</v>
      </c>
      <c r="AC48" s="54" t="s">
        <v>12</v>
      </c>
      <c r="AD48" s="54" t="s">
        <v>12</v>
      </c>
      <c r="AE48" s="55" t="s">
        <v>651</v>
      </c>
      <c r="AF48" s="55" t="s">
        <v>602</v>
      </c>
    </row>
    <row r="49" spans="1:34" ht="93" customHeight="1" x14ac:dyDescent="0.25">
      <c r="A49" s="54" t="s">
        <v>592</v>
      </c>
      <c r="B49" s="54"/>
      <c r="C49" s="54"/>
      <c r="D49" s="55" t="s">
        <v>301</v>
      </c>
      <c r="E49" s="55" t="s">
        <v>302</v>
      </c>
      <c r="F49" s="122">
        <v>34225868.25</v>
      </c>
      <c r="G49" s="62"/>
      <c r="H49" s="53" t="s">
        <v>79</v>
      </c>
      <c r="I49" s="34">
        <f>VLOOKUP(H49,'Criterios y Ponderaciones'!$D$48:$J$53,7,0)</f>
        <v>1</v>
      </c>
      <c r="J49" s="53" t="s">
        <v>80</v>
      </c>
      <c r="K49" s="34">
        <f>VLOOKUP(J49,'Criterios y Ponderaciones'!$E$48:$J$52,6,0)</f>
        <v>0.25</v>
      </c>
      <c r="L49" s="53" t="s">
        <v>41</v>
      </c>
      <c r="M49" s="34">
        <f>VLOOKUP(L49,'Criterios y Ponderaciones'!$F$53:$G$54,2,0)</f>
        <v>1</v>
      </c>
      <c r="N49" s="53" t="s">
        <v>88</v>
      </c>
      <c r="O49" s="34">
        <f>VLOOKUP(N49,'Criterios y Ponderaciones'!$G$48:$J$52,4,0)</f>
        <v>1</v>
      </c>
      <c r="P49" s="53" t="s">
        <v>41</v>
      </c>
      <c r="Q49" s="34">
        <f>VLOOKUP(P49,'Criterios y Ponderaciones'!$F$53:$G$54,2,0)</f>
        <v>1</v>
      </c>
      <c r="R49" s="58">
        <f>(I49*$I$3+K49*$K$3+M49*$M$3+O49*$O$3+Q49*$Q$3)*1000</f>
        <v>860.22727272727263</v>
      </c>
      <c r="S49" s="68">
        <v>2017</v>
      </c>
      <c r="T49" s="57">
        <v>42795</v>
      </c>
      <c r="U49" s="57">
        <v>43100</v>
      </c>
      <c r="V49" s="54" t="s">
        <v>305</v>
      </c>
      <c r="W49" s="54" t="s">
        <v>7</v>
      </c>
      <c r="X49" s="54" t="s">
        <v>681</v>
      </c>
      <c r="Y49" s="54" t="s">
        <v>9</v>
      </c>
      <c r="Z49" s="54" t="s">
        <v>12</v>
      </c>
      <c r="AA49" s="54" t="s">
        <v>307</v>
      </c>
      <c r="AB49" s="54" t="s">
        <v>15</v>
      </c>
      <c r="AC49" s="54" t="s">
        <v>12</v>
      </c>
      <c r="AD49" s="54" t="s">
        <v>12</v>
      </c>
      <c r="AE49" s="55" t="s">
        <v>323</v>
      </c>
      <c r="AF49" s="55" t="s">
        <v>324</v>
      </c>
    </row>
    <row r="50" spans="1:34" ht="75" customHeight="1" x14ac:dyDescent="0.25">
      <c r="A50" s="54" t="s">
        <v>592</v>
      </c>
      <c r="B50" s="54"/>
      <c r="C50" s="54" t="s">
        <v>98</v>
      </c>
      <c r="D50" s="55" t="s">
        <v>138</v>
      </c>
      <c r="E50" s="55" t="s">
        <v>656</v>
      </c>
      <c r="F50" s="56">
        <v>127000000</v>
      </c>
      <c r="G50" s="63"/>
      <c r="H50" s="53" t="s">
        <v>79</v>
      </c>
      <c r="I50" s="34">
        <f>VLOOKUP(H50,'Criterios y Ponderaciones'!$D$48:$J$53,7,0)</f>
        <v>1</v>
      </c>
      <c r="J50" s="53" t="s">
        <v>82</v>
      </c>
      <c r="K50" s="34">
        <f>VLOOKUP(J50,'Criterios y Ponderaciones'!$E$48:$J$52,6,0)</f>
        <v>0.75</v>
      </c>
      <c r="L50" s="53" t="s">
        <v>41</v>
      </c>
      <c r="M50" s="34">
        <f>VLOOKUP(L50,'Criterios y Ponderaciones'!$F$53:$G$54,2,0)</f>
        <v>1</v>
      </c>
      <c r="N50" s="53" t="s">
        <v>88</v>
      </c>
      <c r="O50" s="34">
        <f>VLOOKUP(N50,'Criterios y Ponderaciones'!$G$48:$J$52,4,0)</f>
        <v>1</v>
      </c>
      <c r="P50" s="53" t="s">
        <v>49</v>
      </c>
      <c r="Q50" s="34">
        <f>VLOOKUP(P50,'Criterios y Ponderaciones'!$F$53:$G$54,2,0)</f>
        <v>0</v>
      </c>
      <c r="R50" s="58">
        <f t="shared" si="1"/>
        <v>812.5</v>
      </c>
      <c r="S50" s="68">
        <v>2017</v>
      </c>
      <c r="T50" s="57">
        <v>42736</v>
      </c>
      <c r="U50" s="57">
        <f>+T50+360</f>
        <v>43096</v>
      </c>
      <c r="V50" s="54" t="s">
        <v>226</v>
      </c>
      <c r="W50" s="54" t="s">
        <v>7</v>
      </c>
      <c r="X50" s="54" t="s">
        <v>21</v>
      </c>
      <c r="Y50" s="54" t="s">
        <v>9</v>
      </c>
      <c r="Z50" s="54" t="s">
        <v>9</v>
      </c>
      <c r="AA50" s="54" t="s">
        <v>27</v>
      </c>
      <c r="AB50" s="54" t="s">
        <v>15</v>
      </c>
      <c r="AC50" s="54" t="s">
        <v>19</v>
      </c>
      <c r="AD50" s="54" t="s">
        <v>12</v>
      </c>
      <c r="AE50" s="55" t="s">
        <v>652</v>
      </c>
      <c r="AF50" s="55" t="s">
        <v>520</v>
      </c>
    </row>
    <row r="51" spans="1:34" ht="75.75" customHeight="1" x14ac:dyDescent="0.25">
      <c r="A51" s="54" t="s">
        <v>592</v>
      </c>
      <c r="B51" s="54"/>
      <c r="C51" s="54" t="s">
        <v>98</v>
      </c>
      <c r="D51" s="55" t="s">
        <v>345</v>
      </c>
      <c r="E51" s="55" t="s">
        <v>346</v>
      </c>
      <c r="F51" s="56">
        <v>30000000</v>
      </c>
      <c r="G51" s="62"/>
      <c r="H51" s="53" t="s">
        <v>76</v>
      </c>
      <c r="I51" s="34">
        <f>VLOOKUP(H51,'Criterios y Ponderaciones'!$D$48:$J$53,7,0)</f>
        <v>0.25</v>
      </c>
      <c r="J51" s="53" t="s">
        <v>83</v>
      </c>
      <c r="K51" s="34">
        <f>VLOOKUP(J51,'Criterios y Ponderaciones'!$E$48:$J$52,6,0)</f>
        <v>1</v>
      </c>
      <c r="L51" s="53" t="s">
        <v>41</v>
      </c>
      <c r="M51" s="34">
        <f>VLOOKUP(L51,'Criterios y Ponderaciones'!$F$53:$G$54,2,0)</f>
        <v>1</v>
      </c>
      <c r="N51" s="53" t="s">
        <v>84</v>
      </c>
      <c r="O51" s="34">
        <f>VLOOKUP(N51,'Criterios y Ponderaciones'!$G$48:$J$52,4,0)</f>
        <v>0</v>
      </c>
      <c r="P51" s="53" t="s">
        <v>41</v>
      </c>
      <c r="Q51" s="34">
        <f>VLOOKUP(P51,'Criterios y Ponderaciones'!$F$53:$G$54,2,0)</f>
        <v>1</v>
      </c>
      <c r="R51" s="58">
        <f t="shared" si="1"/>
        <v>656.81818181818176</v>
      </c>
      <c r="S51" s="68">
        <v>2017</v>
      </c>
      <c r="T51" s="57">
        <f>U51-180</f>
        <v>42736</v>
      </c>
      <c r="U51" s="57">
        <v>42916</v>
      </c>
      <c r="V51" s="54" t="s">
        <v>383</v>
      </c>
      <c r="W51" s="54" t="s">
        <v>384</v>
      </c>
      <c r="X51" s="54" t="s">
        <v>21</v>
      </c>
      <c r="Y51" s="54" t="s">
        <v>9</v>
      </c>
      <c r="Z51" s="54" t="s">
        <v>9</v>
      </c>
      <c r="AA51" s="54" t="s">
        <v>27</v>
      </c>
      <c r="AB51" s="54" t="s">
        <v>16</v>
      </c>
      <c r="AC51" s="54" t="s">
        <v>19</v>
      </c>
      <c r="AD51" s="54" t="s">
        <v>12</v>
      </c>
      <c r="AE51" s="55" t="s">
        <v>385</v>
      </c>
      <c r="AF51" s="55" t="s">
        <v>386</v>
      </c>
    </row>
    <row r="52" spans="1:34" ht="120" customHeight="1" x14ac:dyDescent="0.25">
      <c r="A52" s="54" t="s">
        <v>592</v>
      </c>
      <c r="B52" s="54"/>
      <c r="C52" s="54"/>
      <c r="D52" s="55" t="s">
        <v>288</v>
      </c>
      <c r="E52" s="55" t="s">
        <v>289</v>
      </c>
      <c r="F52" s="56">
        <v>63814572.9375</v>
      </c>
      <c r="G52" s="62"/>
      <c r="H52" s="53" t="s">
        <v>79</v>
      </c>
      <c r="I52" s="34">
        <f>VLOOKUP(H52,'Criterios y Ponderaciones'!$D$48:$J$53,7,0)</f>
        <v>1</v>
      </c>
      <c r="J52" s="53" t="s">
        <v>80</v>
      </c>
      <c r="K52" s="34">
        <f>VLOOKUP(J52,'Criterios y Ponderaciones'!$E$48:$J$52,6,0)</f>
        <v>0.25</v>
      </c>
      <c r="L52" s="53" t="s">
        <v>49</v>
      </c>
      <c r="M52" s="34">
        <f>VLOOKUP(L52,'Criterios y Ponderaciones'!$F$53:$G$54,2,0)</f>
        <v>0</v>
      </c>
      <c r="N52" s="53" t="s">
        <v>84</v>
      </c>
      <c r="O52" s="34">
        <f>VLOOKUP(N52,'Criterios y Ponderaciones'!$G$48:$J$52,4,0)</f>
        <v>0</v>
      </c>
      <c r="P52" s="53" t="s">
        <v>41</v>
      </c>
      <c r="Q52" s="34">
        <f>VLOOKUP(P52,'Criterios y Ponderaciones'!$F$53:$G$54,2,0)</f>
        <v>1</v>
      </c>
      <c r="R52" s="58">
        <f t="shared" si="1"/>
        <v>396.59090909090912</v>
      </c>
      <c r="S52" s="68">
        <v>2017</v>
      </c>
      <c r="T52" s="57">
        <v>42736</v>
      </c>
      <c r="U52" s="57">
        <v>43100</v>
      </c>
      <c r="V52" s="54" t="s">
        <v>305</v>
      </c>
      <c r="W52" s="54" t="s">
        <v>7</v>
      </c>
      <c r="X52" s="54" t="s">
        <v>681</v>
      </c>
      <c r="Y52" s="54" t="s">
        <v>9</v>
      </c>
      <c r="Z52" s="54" t="s">
        <v>12</v>
      </c>
      <c r="AA52" s="54" t="s">
        <v>307</v>
      </c>
      <c r="AB52" s="54" t="s">
        <v>15</v>
      </c>
      <c r="AC52" s="54" t="s">
        <v>12</v>
      </c>
      <c r="AD52" s="54" t="s">
        <v>12</v>
      </c>
      <c r="AE52" s="55" t="s">
        <v>313</v>
      </c>
      <c r="AF52" s="55" t="s">
        <v>314</v>
      </c>
    </row>
    <row r="53" spans="1:34" ht="131.25" customHeight="1" x14ac:dyDescent="0.25">
      <c r="A53" s="54" t="s">
        <v>592</v>
      </c>
      <c r="B53" s="54"/>
      <c r="C53" s="54" t="s">
        <v>98</v>
      </c>
      <c r="D53" s="55" t="s">
        <v>343</v>
      </c>
      <c r="E53" s="55" t="s">
        <v>344</v>
      </c>
      <c r="F53" s="56">
        <f>6000000*1.015</f>
        <v>6089999.9999999991</v>
      </c>
      <c r="G53" s="62"/>
      <c r="H53" s="53" t="s">
        <v>76</v>
      </c>
      <c r="I53" s="34">
        <f>VLOOKUP(H53,'Criterios y Ponderaciones'!$D$48:$J$53,7,0)</f>
        <v>0.25</v>
      </c>
      <c r="J53" s="53" t="s">
        <v>83</v>
      </c>
      <c r="K53" s="34">
        <f>VLOOKUP(J53,'Criterios y Ponderaciones'!$E$48:$J$52,6,0)</f>
        <v>1</v>
      </c>
      <c r="L53" s="53" t="s">
        <v>49</v>
      </c>
      <c r="M53" s="34">
        <f>VLOOKUP(L53,'Criterios y Ponderaciones'!$F$53:$G$54,2,0)</f>
        <v>0</v>
      </c>
      <c r="N53" s="53" t="s">
        <v>84</v>
      </c>
      <c r="O53" s="34">
        <f>VLOOKUP(N53,'Criterios y Ponderaciones'!$G$48:$J$52,4,0)</f>
        <v>0</v>
      </c>
      <c r="P53" s="53" t="s">
        <v>41</v>
      </c>
      <c r="Q53" s="34">
        <f>VLOOKUP(P53,'Criterios y Ponderaciones'!$F$53:$G$54,2,0)</f>
        <v>1</v>
      </c>
      <c r="R53" s="58">
        <f t="shared" si="1"/>
        <v>379.5454545454545</v>
      </c>
      <c r="S53" s="68">
        <v>2017</v>
      </c>
      <c r="T53" s="57">
        <f>U53-180</f>
        <v>42736</v>
      </c>
      <c r="U53" s="57">
        <v>42916</v>
      </c>
      <c r="V53" s="54" t="s">
        <v>363</v>
      </c>
      <c r="W53" s="54" t="s">
        <v>381</v>
      </c>
      <c r="X53" s="54" t="s">
        <v>228</v>
      </c>
      <c r="Y53" s="54" t="s">
        <v>9</v>
      </c>
      <c r="Z53" s="54" t="s">
        <v>9</v>
      </c>
      <c r="AA53" s="54" t="s">
        <v>27</v>
      </c>
      <c r="AB53" s="54" t="s">
        <v>16</v>
      </c>
      <c r="AC53" s="54" t="s">
        <v>19</v>
      </c>
      <c r="AD53" s="54" t="s">
        <v>11</v>
      </c>
      <c r="AE53" s="55" t="s">
        <v>382</v>
      </c>
      <c r="AF53" s="55" t="s">
        <v>380</v>
      </c>
    </row>
    <row r="54" spans="1:34" ht="135" customHeight="1" x14ac:dyDescent="0.25">
      <c r="A54" s="54" t="s">
        <v>592</v>
      </c>
      <c r="B54" s="54"/>
      <c r="C54" s="54" t="s">
        <v>98</v>
      </c>
      <c r="D54" s="55" t="s">
        <v>352</v>
      </c>
      <c r="E54" s="55" t="s">
        <v>346</v>
      </c>
      <c r="F54" s="56">
        <v>30000000</v>
      </c>
      <c r="G54" s="62"/>
      <c r="H54" s="53" t="s">
        <v>76</v>
      </c>
      <c r="I54" s="34">
        <f>VLOOKUP(H54,'Criterios y Ponderaciones'!$D$48:$J$53,7,0)</f>
        <v>0.25</v>
      </c>
      <c r="J54" s="53" t="s">
        <v>83</v>
      </c>
      <c r="K54" s="34">
        <f>VLOOKUP(J54,'Criterios y Ponderaciones'!$E$48:$J$52,6,0)</f>
        <v>1</v>
      </c>
      <c r="L54" s="53" t="s">
        <v>49</v>
      </c>
      <c r="M54" s="34">
        <f>VLOOKUP(L54,'Criterios y Ponderaciones'!$F$53:$G$54,2,0)</f>
        <v>0</v>
      </c>
      <c r="N54" s="53" t="s">
        <v>84</v>
      </c>
      <c r="O54" s="34">
        <f>VLOOKUP(N54,'Criterios y Ponderaciones'!$G$48:$J$52,4,0)</f>
        <v>0</v>
      </c>
      <c r="P54" s="53" t="s">
        <v>41</v>
      </c>
      <c r="Q54" s="34">
        <f>VLOOKUP(P54,'Criterios y Ponderaciones'!$F$53:$G$54,2,0)</f>
        <v>1</v>
      </c>
      <c r="R54" s="58">
        <f t="shared" si="1"/>
        <v>379.5454545454545</v>
      </c>
      <c r="S54" s="68">
        <v>2017</v>
      </c>
      <c r="T54" s="57">
        <f>U54-180</f>
        <v>42736</v>
      </c>
      <c r="U54" s="57">
        <v>42916</v>
      </c>
      <c r="V54" s="54" t="s">
        <v>363</v>
      </c>
      <c r="W54" s="54" t="s">
        <v>384</v>
      </c>
      <c r="X54" s="54" t="s">
        <v>21</v>
      </c>
      <c r="Y54" s="54" t="s">
        <v>9</v>
      </c>
      <c r="Z54" s="54" t="s">
        <v>12</v>
      </c>
      <c r="AA54" s="54" t="s">
        <v>27</v>
      </c>
      <c r="AB54" s="54" t="s">
        <v>16</v>
      </c>
      <c r="AC54" s="54" t="s">
        <v>19</v>
      </c>
      <c r="AD54" s="54" t="s">
        <v>12</v>
      </c>
      <c r="AE54" s="55" t="s">
        <v>394</v>
      </c>
      <c r="AF54" s="55" t="s">
        <v>380</v>
      </c>
    </row>
    <row r="55" spans="1:34" ht="135" customHeight="1" thickBot="1" x14ac:dyDescent="0.3">
      <c r="A55" s="54" t="s">
        <v>592</v>
      </c>
      <c r="B55" s="54"/>
      <c r="C55" s="54"/>
      <c r="D55" s="55" t="s">
        <v>290</v>
      </c>
      <c r="E55" s="118" t="s">
        <v>291</v>
      </c>
      <c r="F55" s="119">
        <v>3741591</v>
      </c>
      <c r="G55" s="62"/>
      <c r="H55" s="53" t="s">
        <v>76</v>
      </c>
      <c r="I55" s="34">
        <f>VLOOKUP(H55,'Criterios y Ponderaciones'!$D$48:$J$53,7,0)</f>
        <v>0.25</v>
      </c>
      <c r="J55" s="53" t="s">
        <v>80</v>
      </c>
      <c r="K55" s="34">
        <f>VLOOKUP(J55,'Criterios y Ponderaciones'!$E$48:$J$52,6,0)</f>
        <v>0.25</v>
      </c>
      <c r="L55" s="53" t="s">
        <v>49</v>
      </c>
      <c r="M55" s="34">
        <f>VLOOKUP(L55,'Criterios y Ponderaciones'!$F$53:$G$54,2,0)</f>
        <v>0</v>
      </c>
      <c r="N55" s="53" t="s">
        <v>84</v>
      </c>
      <c r="O55" s="34">
        <f>VLOOKUP(N55,'Criterios y Ponderaciones'!$G$48:$J$52,4,0)</f>
        <v>0</v>
      </c>
      <c r="P55" s="53" t="s">
        <v>41</v>
      </c>
      <c r="Q55" s="34">
        <f>VLOOKUP(P55,'Criterios y Ponderaciones'!$F$53:$G$54,2,0)</f>
        <v>1</v>
      </c>
      <c r="R55" s="58">
        <f t="shared" si="1"/>
        <v>239.77272727272725</v>
      </c>
      <c r="S55" s="68">
        <v>2017</v>
      </c>
      <c r="T55" s="57">
        <v>42887</v>
      </c>
      <c r="U55" s="57">
        <v>43100</v>
      </c>
      <c r="V55" s="54" t="s">
        <v>305</v>
      </c>
      <c r="W55" s="54" t="s">
        <v>7</v>
      </c>
      <c r="X55" s="54" t="s">
        <v>681</v>
      </c>
      <c r="Y55" s="54" t="s">
        <v>9</v>
      </c>
      <c r="Z55" s="54" t="s">
        <v>307</v>
      </c>
      <c r="AA55" s="54" t="s">
        <v>307</v>
      </c>
      <c r="AB55" s="54" t="s">
        <v>307</v>
      </c>
      <c r="AC55" s="54" t="s">
        <v>12</v>
      </c>
      <c r="AD55" s="54" t="s">
        <v>12</v>
      </c>
      <c r="AE55" s="55" t="s">
        <v>308</v>
      </c>
      <c r="AF55" s="55" t="s">
        <v>315</v>
      </c>
    </row>
    <row r="56" spans="1:34" s="75" customFormat="1" ht="28.5" customHeight="1" thickBot="1" x14ac:dyDescent="0.3">
      <c r="A56" s="137"/>
      <c r="B56" s="129"/>
      <c r="C56" s="129"/>
      <c r="D56" s="130"/>
      <c r="E56" s="144" t="s">
        <v>690</v>
      </c>
      <c r="F56" s="116">
        <f>SUM(F48:F55)</f>
        <v>374398032.1875</v>
      </c>
      <c r="G56" s="131"/>
      <c r="H56" s="132"/>
      <c r="I56" s="133"/>
      <c r="J56" s="132"/>
      <c r="K56" s="133"/>
      <c r="L56" s="132"/>
      <c r="M56" s="133"/>
      <c r="N56" s="132"/>
      <c r="O56" s="133"/>
      <c r="P56" s="132"/>
      <c r="Q56" s="133"/>
      <c r="R56" s="134"/>
      <c r="S56" s="135"/>
      <c r="T56" s="136"/>
      <c r="U56" s="136"/>
      <c r="V56" s="129"/>
      <c r="W56" s="129"/>
      <c r="X56" s="129"/>
      <c r="Y56" s="129"/>
      <c r="Z56" s="129"/>
      <c r="AA56" s="129"/>
      <c r="AB56" s="129"/>
      <c r="AC56" s="129"/>
      <c r="AD56" s="129"/>
      <c r="AE56" s="130"/>
      <c r="AF56" s="139"/>
      <c r="AH56" s="76"/>
    </row>
    <row r="57" spans="1:34" s="75" customFormat="1" ht="28.5" customHeight="1" x14ac:dyDescent="0.25">
      <c r="A57" s="137"/>
      <c r="B57" s="129"/>
      <c r="C57" s="129"/>
      <c r="D57" s="130"/>
      <c r="E57" s="130"/>
      <c r="F57" s="138">
        <f>+F56/'Montos de Referencia'!$I$3</f>
        <v>24926633.301431425</v>
      </c>
      <c r="G57" s="131"/>
      <c r="H57" s="132"/>
      <c r="I57" s="133"/>
      <c r="J57" s="132"/>
      <c r="K57" s="133"/>
      <c r="L57" s="132"/>
      <c r="M57" s="133"/>
      <c r="N57" s="132"/>
      <c r="O57" s="133"/>
      <c r="P57" s="132"/>
      <c r="Q57" s="133"/>
      <c r="R57" s="134"/>
      <c r="S57" s="135"/>
      <c r="T57" s="136"/>
      <c r="U57" s="136"/>
      <c r="V57" s="129"/>
      <c r="W57" s="129"/>
      <c r="X57" s="129"/>
      <c r="Y57" s="129"/>
      <c r="Z57" s="129"/>
      <c r="AA57" s="129"/>
      <c r="AB57" s="129"/>
      <c r="AC57" s="129"/>
      <c r="AD57" s="129"/>
      <c r="AE57" s="130"/>
      <c r="AF57" s="139"/>
      <c r="AH57" s="76"/>
    </row>
    <row r="58" spans="1:34" s="75" customFormat="1" ht="6.75" customHeight="1" x14ac:dyDescent="0.25">
      <c r="A58" s="79"/>
      <c r="B58" s="80"/>
      <c r="C58" s="80"/>
      <c r="D58" s="81"/>
      <c r="E58" s="81"/>
      <c r="F58" s="82"/>
      <c r="G58" s="83"/>
      <c r="H58" s="84"/>
      <c r="I58" s="85"/>
      <c r="J58" s="84"/>
      <c r="K58" s="85"/>
      <c r="L58" s="84"/>
      <c r="M58" s="85"/>
      <c r="N58" s="84"/>
      <c r="O58" s="85"/>
      <c r="P58" s="84"/>
      <c r="Q58" s="85"/>
      <c r="R58" s="86"/>
      <c r="S58" s="87"/>
      <c r="T58" s="88"/>
      <c r="U58" s="88"/>
      <c r="V58" s="80"/>
      <c r="W58" s="80"/>
      <c r="X58" s="80"/>
      <c r="Y58" s="80"/>
      <c r="Z58" s="80"/>
      <c r="AA58" s="80"/>
      <c r="AB58" s="80"/>
      <c r="AC58" s="80"/>
      <c r="AD58" s="80"/>
      <c r="AE58" s="81"/>
      <c r="AF58" s="89"/>
      <c r="AH58" s="76"/>
    </row>
    <row r="59" spans="1:34" s="73" customFormat="1" x14ac:dyDescent="0.25">
      <c r="A59" s="169" t="s">
        <v>593</v>
      </c>
      <c r="B59" s="169" t="s">
        <v>594</v>
      </c>
      <c r="C59" s="169" t="s">
        <v>32</v>
      </c>
      <c r="D59" s="169" t="s">
        <v>0</v>
      </c>
      <c r="E59" s="169" t="s">
        <v>1</v>
      </c>
      <c r="F59" s="169" t="s">
        <v>28</v>
      </c>
      <c r="G59" s="169" t="s">
        <v>31</v>
      </c>
      <c r="H59" s="169" t="s">
        <v>64</v>
      </c>
      <c r="I59" s="169"/>
      <c r="J59" s="169"/>
      <c r="K59" s="169"/>
      <c r="L59" s="169"/>
      <c r="M59" s="169"/>
      <c r="N59" s="169"/>
      <c r="O59" s="169"/>
      <c r="P59" s="169"/>
      <c r="Q59" s="169"/>
      <c r="R59" s="171" t="s">
        <v>70</v>
      </c>
      <c r="S59" s="169" t="s">
        <v>671</v>
      </c>
      <c r="T59" s="169" t="s">
        <v>605</v>
      </c>
      <c r="U59" s="169" t="s">
        <v>603</v>
      </c>
      <c r="V59" s="169" t="s">
        <v>25</v>
      </c>
      <c r="W59" s="140" t="s">
        <v>29</v>
      </c>
      <c r="X59" s="140"/>
      <c r="Y59" s="140"/>
      <c r="Z59" s="140"/>
      <c r="AA59" s="140"/>
      <c r="AB59" s="140"/>
      <c r="AC59" s="140"/>
      <c r="AD59" s="140"/>
      <c r="AE59" s="170" t="s">
        <v>89</v>
      </c>
      <c r="AF59" s="170"/>
      <c r="AH59" s="74"/>
    </row>
    <row r="60" spans="1:34" s="1" customFormat="1" x14ac:dyDescent="0.25">
      <c r="A60" s="169"/>
      <c r="B60" s="169"/>
      <c r="C60" s="169"/>
      <c r="D60" s="169"/>
      <c r="E60" s="169"/>
      <c r="F60" s="169"/>
      <c r="G60" s="169"/>
      <c r="H60" s="169" t="s">
        <v>65</v>
      </c>
      <c r="I60" s="169"/>
      <c r="J60" s="169" t="s">
        <v>66</v>
      </c>
      <c r="K60" s="169"/>
      <c r="L60" s="169" t="s">
        <v>67</v>
      </c>
      <c r="M60" s="169"/>
      <c r="N60" s="169" t="s">
        <v>68</v>
      </c>
      <c r="O60" s="169"/>
      <c r="P60" s="169" t="s">
        <v>69</v>
      </c>
      <c r="Q60" s="169"/>
      <c r="R60" s="171"/>
      <c r="S60" s="169"/>
      <c r="T60" s="169"/>
      <c r="U60" s="169"/>
      <c r="V60" s="169"/>
      <c r="W60" s="169" t="s">
        <v>2</v>
      </c>
      <c r="X60" s="170" t="s">
        <v>20</v>
      </c>
      <c r="Y60" s="170"/>
      <c r="Z60" s="169" t="s">
        <v>3</v>
      </c>
      <c r="AA60" s="169" t="s">
        <v>5</v>
      </c>
      <c r="AB60" s="169" t="s">
        <v>6</v>
      </c>
      <c r="AC60" s="169" t="s">
        <v>18</v>
      </c>
      <c r="AD60" s="169" t="s">
        <v>22</v>
      </c>
      <c r="AE60" s="169" t="s">
        <v>23</v>
      </c>
      <c r="AF60" s="169" t="s">
        <v>24</v>
      </c>
      <c r="AH60" s="4"/>
    </row>
    <row r="61" spans="1:34" ht="66" customHeight="1" x14ac:dyDescent="0.25">
      <c r="A61" s="169"/>
      <c r="B61" s="169"/>
      <c r="C61" s="169" t="s">
        <v>30</v>
      </c>
      <c r="D61" s="169"/>
      <c r="E61" s="169"/>
      <c r="F61" s="169"/>
      <c r="G61" s="169"/>
      <c r="H61" s="141" t="s">
        <v>104</v>
      </c>
      <c r="I61" s="141">
        <f>+'Criterios y Ponderaciones'!B81</f>
        <v>0</v>
      </c>
      <c r="J61" s="141" t="s">
        <v>689</v>
      </c>
      <c r="K61" s="141">
        <f>+'Criterios y Ponderaciones'!B82</f>
        <v>0</v>
      </c>
      <c r="L61" s="141" t="s">
        <v>106</v>
      </c>
      <c r="M61" s="141">
        <f>+'Criterios y Ponderaciones'!B83</f>
        <v>0</v>
      </c>
      <c r="N61" s="141" t="s">
        <v>107</v>
      </c>
      <c r="O61" s="141">
        <f>+'Criterios y Ponderaciones'!B84</f>
        <v>0</v>
      </c>
      <c r="P61" s="141" t="s">
        <v>108</v>
      </c>
      <c r="Q61" s="141">
        <f>+'Criterios y Ponderaciones'!B85</f>
        <v>0</v>
      </c>
      <c r="R61" s="171"/>
      <c r="S61" s="169"/>
      <c r="T61" s="169"/>
      <c r="U61" s="169"/>
      <c r="V61" s="169"/>
      <c r="W61" s="169"/>
      <c r="X61" s="142" t="s">
        <v>26</v>
      </c>
      <c r="Y61" s="143" t="s">
        <v>4</v>
      </c>
      <c r="Z61" s="169"/>
      <c r="AA61" s="169"/>
      <c r="AB61" s="169"/>
      <c r="AC61" s="169"/>
      <c r="AD61" s="169"/>
      <c r="AE61" s="169"/>
      <c r="AF61" s="169"/>
    </row>
    <row r="62" spans="1:34" ht="132.75" customHeight="1" x14ac:dyDescent="0.25">
      <c r="A62" s="120" t="s">
        <v>592</v>
      </c>
      <c r="B62" s="120"/>
      <c r="C62" s="120" t="s">
        <v>98</v>
      </c>
      <c r="D62" s="121" t="s">
        <v>109</v>
      </c>
      <c r="E62" s="121" t="s">
        <v>110</v>
      </c>
      <c r="F62" s="122">
        <v>91539000</v>
      </c>
      <c r="G62" s="123"/>
      <c r="H62" s="124" t="s">
        <v>79</v>
      </c>
      <c r="I62" s="125">
        <f>VLOOKUP(H62,'Criterios y Ponderaciones'!$D$48:$J$53,7,0)</f>
        <v>1</v>
      </c>
      <c r="J62" s="124" t="s">
        <v>83</v>
      </c>
      <c r="K62" s="125">
        <f>VLOOKUP(J62,'Criterios y Ponderaciones'!$E$48:$J$52,6,0)</f>
        <v>1</v>
      </c>
      <c r="L62" s="124" t="s">
        <v>41</v>
      </c>
      <c r="M62" s="125">
        <f>VLOOKUP(L62,'Criterios y Ponderaciones'!$F$53:$G$54,2,0)</f>
        <v>1</v>
      </c>
      <c r="N62" s="124" t="s">
        <v>88</v>
      </c>
      <c r="O62" s="125">
        <f>VLOOKUP(N62,'Criterios y Ponderaciones'!$G$48:$J$52,4,0)</f>
        <v>1</v>
      </c>
      <c r="P62" s="124" t="s">
        <v>41</v>
      </c>
      <c r="Q62" s="125">
        <f>VLOOKUP(P62,'Criterios y Ponderaciones'!$F$53:$G$54,2,0)</f>
        <v>1</v>
      </c>
      <c r="R62" s="126">
        <f t="shared" ref="R62:R83" si="2">(I62*$I$3+K62*$K$3+M62*$M$3+O62*$O$3+Q62*$Q$3)*1000</f>
        <v>1000</v>
      </c>
      <c r="S62" s="127">
        <v>2018</v>
      </c>
      <c r="T62" s="128">
        <v>42736</v>
      </c>
      <c r="U62" s="128">
        <f>+T62+540</f>
        <v>43276</v>
      </c>
      <c r="V62" s="120" t="s">
        <v>226</v>
      </c>
      <c r="W62" s="120" t="s">
        <v>73</v>
      </c>
      <c r="X62" s="120" t="s">
        <v>12</v>
      </c>
      <c r="Y62" s="120" t="s">
        <v>12</v>
      </c>
      <c r="Z62" s="120" t="s">
        <v>9</v>
      </c>
      <c r="AA62" s="120" t="s">
        <v>27</v>
      </c>
      <c r="AB62" s="120" t="s">
        <v>15</v>
      </c>
      <c r="AC62" s="120" t="s">
        <v>19</v>
      </c>
      <c r="AD62" s="120" t="s">
        <v>12</v>
      </c>
      <c r="AE62" s="121" t="s">
        <v>653</v>
      </c>
      <c r="AF62" s="121" t="s">
        <v>513</v>
      </c>
    </row>
    <row r="63" spans="1:34" ht="114.75" customHeight="1" x14ac:dyDescent="0.25">
      <c r="A63" s="54" t="s">
        <v>592</v>
      </c>
      <c r="B63" s="54"/>
      <c r="C63" s="54" t="s">
        <v>98</v>
      </c>
      <c r="D63" s="55" t="s">
        <v>232</v>
      </c>
      <c r="E63" s="55" t="s">
        <v>233</v>
      </c>
      <c r="F63" s="56">
        <f>9*'Montos de Referencia'!$C$7*'Montos de Referencia'!$I$3</f>
        <v>47313000</v>
      </c>
      <c r="G63" s="63" t="s">
        <v>151</v>
      </c>
      <c r="H63" s="53" t="s">
        <v>79</v>
      </c>
      <c r="I63" s="34">
        <f>VLOOKUP(H63,'Criterios y Ponderaciones'!$D$48:$J$53,7,0)</f>
        <v>1</v>
      </c>
      <c r="J63" s="53" t="s">
        <v>83</v>
      </c>
      <c r="K63" s="34">
        <f>VLOOKUP(J63,'Criterios y Ponderaciones'!$E$48:$J$52,6,0)</f>
        <v>1</v>
      </c>
      <c r="L63" s="53" t="s">
        <v>41</v>
      </c>
      <c r="M63" s="34">
        <f>VLOOKUP(L63,'Criterios y Ponderaciones'!$F$53:$G$54,2,0)</f>
        <v>1</v>
      </c>
      <c r="N63" s="53" t="s">
        <v>88</v>
      </c>
      <c r="O63" s="34">
        <f>VLOOKUP(N63,'Criterios y Ponderaciones'!$G$48:$J$52,4,0)</f>
        <v>1</v>
      </c>
      <c r="P63" s="53" t="s">
        <v>41</v>
      </c>
      <c r="Q63" s="34">
        <f>VLOOKUP(P63,'Criterios y Ponderaciones'!$F$53:$G$54,2,0)</f>
        <v>1</v>
      </c>
      <c r="R63" s="58">
        <f t="shared" si="2"/>
        <v>1000</v>
      </c>
      <c r="S63" s="68">
        <v>2018</v>
      </c>
      <c r="T63" s="57">
        <v>42825</v>
      </c>
      <c r="U63" s="57">
        <f>+T63+360</f>
        <v>43185</v>
      </c>
      <c r="V63" s="54" t="s">
        <v>226</v>
      </c>
      <c r="W63" s="54" t="s">
        <v>73</v>
      </c>
      <c r="X63" s="54" t="s">
        <v>12</v>
      </c>
      <c r="Y63" s="54" t="s">
        <v>12</v>
      </c>
      <c r="Z63" s="54" t="s">
        <v>9</v>
      </c>
      <c r="AA63" s="54" t="s">
        <v>13</v>
      </c>
      <c r="AB63" s="54" t="s">
        <v>27</v>
      </c>
      <c r="AC63" s="54" t="s">
        <v>19</v>
      </c>
      <c r="AD63" s="54" t="s">
        <v>12</v>
      </c>
      <c r="AE63" s="55" t="s">
        <v>642</v>
      </c>
      <c r="AF63" s="55" t="s">
        <v>513</v>
      </c>
    </row>
    <row r="64" spans="1:34" ht="139.5" customHeight="1" x14ac:dyDescent="0.25">
      <c r="A64" s="54" t="s">
        <v>592</v>
      </c>
      <c r="B64" s="54"/>
      <c r="C64" s="54" t="s">
        <v>98</v>
      </c>
      <c r="D64" s="55" t="s">
        <v>679</v>
      </c>
      <c r="E64" s="55" t="s">
        <v>111</v>
      </c>
      <c r="F64" s="56">
        <f>('Montos de Referencia'!$C$3+'Montos de Referencia'!$C$5)*'Montos de Referencia'!$I$3</f>
        <v>156208000</v>
      </c>
      <c r="G64" s="63" t="s">
        <v>491</v>
      </c>
      <c r="H64" s="53" t="s">
        <v>79</v>
      </c>
      <c r="I64" s="34">
        <f>VLOOKUP(H64,'Criterios y Ponderaciones'!$D$48:$J$53,7,0)</f>
        <v>1</v>
      </c>
      <c r="J64" s="53" t="s">
        <v>83</v>
      </c>
      <c r="K64" s="34">
        <f>VLOOKUP(J64,'Criterios y Ponderaciones'!$E$48:$J$52,6,0)</f>
        <v>1</v>
      </c>
      <c r="L64" s="53" t="s">
        <v>41</v>
      </c>
      <c r="M64" s="34">
        <f>VLOOKUP(L64,'Criterios y Ponderaciones'!$F$53:$G$54,2,0)</f>
        <v>1</v>
      </c>
      <c r="N64" s="53" t="s">
        <v>88</v>
      </c>
      <c r="O64" s="34">
        <f>VLOOKUP(N64,'Criterios y Ponderaciones'!$G$48:$J$52,4,0)</f>
        <v>1</v>
      </c>
      <c r="P64" s="53" t="s">
        <v>41</v>
      </c>
      <c r="Q64" s="34">
        <f>VLOOKUP(P64,'Criterios y Ponderaciones'!$F$53:$G$54,2,0)</f>
        <v>1</v>
      </c>
      <c r="R64" s="58">
        <f t="shared" si="2"/>
        <v>1000</v>
      </c>
      <c r="S64" s="68">
        <v>2018</v>
      </c>
      <c r="T64" s="57">
        <v>42825</v>
      </c>
      <c r="U64" s="57">
        <f>+T64+540</f>
        <v>43365</v>
      </c>
      <c r="V64" s="54" t="s">
        <v>226</v>
      </c>
      <c r="W64" s="54" t="s">
        <v>73</v>
      </c>
      <c r="X64" s="54" t="s">
        <v>12</v>
      </c>
      <c r="Y64" s="54" t="s">
        <v>12</v>
      </c>
      <c r="Z64" s="54" t="s">
        <v>9</v>
      </c>
      <c r="AA64" s="54" t="s">
        <v>27</v>
      </c>
      <c r="AB64" s="54" t="s">
        <v>15</v>
      </c>
      <c r="AC64" s="54" t="s">
        <v>19</v>
      </c>
      <c r="AD64" s="54" t="s">
        <v>12</v>
      </c>
      <c r="AE64" s="55" t="s">
        <v>642</v>
      </c>
      <c r="AF64" s="55" t="s">
        <v>513</v>
      </c>
    </row>
    <row r="65" spans="1:34" ht="149.25" customHeight="1" x14ac:dyDescent="0.25">
      <c r="A65" s="54" t="s">
        <v>592</v>
      </c>
      <c r="B65" s="54"/>
      <c r="C65" s="54" t="s">
        <v>98</v>
      </c>
      <c r="D65" s="55" t="s">
        <v>114</v>
      </c>
      <c r="E65" s="55" t="s">
        <v>115</v>
      </c>
      <c r="F65" s="56">
        <f>(29*'Montos de Referencia'!$C$6+3*'Montos de Referencia'!$C$9)*'Montos de Referencia'!$I$3</f>
        <v>188801400</v>
      </c>
      <c r="G65" s="63" t="s">
        <v>234</v>
      </c>
      <c r="H65" s="53" t="s">
        <v>79</v>
      </c>
      <c r="I65" s="34">
        <f>VLOOKUP(H65,'Criterios y Ponderaciones'!$D$48:$J$53,7,0)</f>
        <v>1</v>
      </c>
      <c r="J65" s="53" t="s">
        <v>83</v>
      </c>
      <c r="K65" s="34">
        <f>VLOOKUP(J65,'Criterios y Ponderaciones'!$E$48:$J$52,6,0)</f>
        <v>1</v>
      </c>
      <c r="L65" s="53" t="s">
        <v>41</v>
      </c>
      <c r="M65" s="34">
        <f>VLOOKUP(L65,'Criterios y Ponderaciones'!$F$53:$G$54,2,0)</f>
        <v>1</v>
      </c>
      <c r="N65" s="53" t="s">
        <v>88</v>
      </c>
      <c r="O65" s="34">
        <f>VLOOKUP(N65,'Criterios y Ponderaciones'!$G$48:$J$52,4,0)</f>
        <v>1</v>
      </c>
      <c r="P65" s="53" t="s">
        <v>41</v>
      </c>
      <c r="Q65" s="34">
        <f>VLOOKUP(P65,'Criterios y Ponderaciones'!$F$53:$G$54,2,0)</f>
        <v>1</v>
      </c>
      <c r="R65" s="58">
        <f t="shared" si="2"/>
        <v>1000</v>
      </c>
      <c r="S65" s="68">
        <v>2018</v>
      </c>
      <c r="T65" s="57">
        <v>42736</v>
      </c>
      <c r="U65" s="57">
        <f>+T65+720</f>
        <v>43456</v>
      </c>
      <c r="V65" s="54" t="s">
        <v>226</v>
      </c>
      <c r="W65" s="54" t="s">
        <v>73</v>
      </c>
      <c r="X65" s="54" t="s">
        <v>12</v>
      </c>
      <c r="Y65" s="54" t="s">
        <v>12</v>
      </c>
      <c r="Z65" s="54" t="s">
        <v>9</v>
      </c>
      <c r="AA65" s="54" t="s">
        <v>13</v>
      </c>
      <c r="AB65" s="54" t="s">
        <v>27</v>
      </c>
      <c r="AC65" s="54" t="s">
        <v>19</v>
      </c>
      <c r="AD65" s="54" t="s">
        <v>12</v>
      </c>
      <c r="AE65" s="55" t="s">
        <v>643</v>
      </c>
      <c r="AF65" s="55" t="s">
        <v>513</v>
      </c>
    </row>
    <row r="66" spans="1:34" ht="111.75" customHeight="1" x14ac:dyDescent="0.25">
      <c r="A66" s="54" t="s">
        <v>592</v>
      </c>
      <c r="B66" s="54"/>
      <c r="C66" s="54" t="s">
        <v>98</v>
      </c>
      <c r="D66" s="55" t="s">
        <v>112</v>
      </c>
      <c r="E66" s="55" t="s">
        <v>113</v>
      </c>
      <c r="F66" s="56">
        <f>('Montos de Referencia'!$C$3)*'Montos de Referencia'!$I$3</f>
        <v>136682000</v>
      </c>
      <c r="G66" s="63" t="s">
        <v>235</v>
      </c>
      <c r="H66" s="53" t="s">
        <v>79</v>
      </c>
      <c r="I66" s="34">
        <f>VLOOKUP(H66,'Criterios y Ponderaciones'!$D$48:$J$53,7,0)</f>
        <v>1</v>
      </c>
      <c r="J66" s="53" t="s">
        <v>83</v>
      </c>
      <c r="K66" s="34">
        <f>VLOOKUP(J66,'Criterios y Ponderaciones'!$E$48:$J$52,6,0)</f>
        <v>1</v>
      </c>
      <c r="L66" s="53" t="s">
        <v>41</v>
      </c>
      <c r="M66" s="34">
        <f>VLOOKUP(L66,'Criterios y Ponderaciones'!$F$53:$G$54,2,0)</f>
        <v>1</v>
      </c>
      <c r="N66" s="53" t="s">
        <v>88</v>
      </c>
      <c r="O66" s="34">
        <f>VLOOKUP(N66,'Criterios y Ponderaciones'!$G$48:$J$52,4,0)</f>
        <v>1</v>
      </c>
      <c r="P66" s="53" t="s">
        <v>41</v>
      </c>
      <c r="Q66" s="34">
        <f>VLOOKUP(P66,'Criterios y Ponderaciones'!$F$53:$G$54,2,0)</f>
        <v>1</v>
      </c>
      <c r="R66" s="58">
        <f t="shared" si="2"/>
        <v>1000</v>
      </c>
      <c r="S66" s="68">
        <v>2018</v>
      </c>
      <c r="T66" s="57">
        <v>42916</v>
      </c>
      <c r="U66" s="57">
        <f>+T66+540</f>
        <v>43456</v>
      </c>
      <c r="V66" s="54" t="s">
        <v>226</v>
      </c>
      <c r="W66" s="54" t="s">
        <v>73</v>
      </c>
      <c r="X66" s="54" t="s">
        <v>12</v>
      </c>
      <c r="Y66" s="54" t="s">
        <v>12</v>
      </c>
      <c r="Z66" s="54" t="s">
        <v>9</v>
      </c>
      <c r="AA66" s="54" t="s">
        <v>27</v>
      </c>
      <c r="AB66" s="54" t="s">
        <v>15</v>
      </c>
      <c r="AC66" s="54" t="s">
        <v>19</v>
      </c>
      <c r="AD66" s="54" t="s">
        <v>12</v>
      </c>
      <c r="AE66" s="55" t="s">
        <v>643</v>
      </c>
      <c r="AF66" s="55" t="s">
        <v>513</v>
      </c>
    </row>
    <row r="67" spans="1:34" ht="135.75" customHeight="1" x14ac:dyDescent="0.25">
      <c r="A67" s="54" t="s">
        <v>592</v>
      </c>
      <c r="B67" s="54"/>
      <c r="C67" s="54" t="s">
        <v>98</v>
      </c>
      <c r="D67" s="55" t="s">
        <v>128</v>
      </c>
      <c r="E67" s="55" t="s">
        <v>129</v>
      </c>
      <c r="F67" s="56">
        <f>(1*'Montos de Referencia'!$C$9+70*'Montos de Referencia'!$C$6+1*'Montos de Referencia'!$C$10)*'Montos de Referencia'!$I$3</f>
        <v>322629600</v>
      </c>
      <c r="G67" s="63" t="s">
        <v>495</v>
      </c>
      <c r="H67" s="53" t="s">
        <v>79</v>
      </c>
      <c r="I67" s="34">
        <f>VLOOKUP(H67,'Criterios y Ponderaciones'!$D$48:$J$53,7,0)</f>
        <v>1</v>
      </c>
      <c r="J67" s="53" t="s">
        <v>83</v>
      </c>
      <c r="K67" s="34">
        <f>VLOOKUP(J67,'Criterios y Ponderaciones'!$E$48:$J$52,6,0)</f>
        <v>1</v>
      </c>
      <c r="L67" s="53" t="s">
        <v>41</v>
      </c>
      <c r="M67" s="34">
        <f>VLOOKUP(L67,'Criterios y Ponderaciones'!$F$53:$G$54,2,0)</f>
        <v>1</v>
      </c>
      <c r="N67" s="53" t="s">
        <v>87</v>
      </c>
      <c r="O67" s="34">
        <f>VLOOKUP(N67,'Criterios y Ponderaciones'!$G$48:$J$52,4,0)</f>
        <v>0.75</v>
      </c>
      <c r="P67" s="53" t="s">
        <v>41</v>
      </c>
      <c r="Q67" s="34">
        <f>VLOOKUP(P67,'Criterios y Ponderaciones'!$F$53:$G$54,2,0)</f>
        <v>1</v>
      </c>
      <c r="R67" s="58">
        <f t="shared" si="2"/>
        <v>953.40909090909088</v>
      </c>
      <c r="S67" s="68">
        <v>2018</v>
      </c>
      <c r="T67" s="57">
        <v>42916</v>
      </c>
      <c r="U67" s="57">
        <f>+T67+540</f>
        <v>43456</v>
      </c>
      <c r="V67" s="54" t="s">
        <v>227</v>
      </c>
      <c r="W67" s="54" t="s">
        <v>73</v>
      </c>
      <c r="X67" s="54" t="s">
        <v>72</v>
      </c>
      <c r="Y67" s="54" t="s">
        <v>9</v>
      </c>
      <c r="Z67" s="54" t="s">
        <v>9</v>
      </c>
      <c r="AA67" s="54" t="s">
        <v>13</v>
      </c>
      <c r="AB67" s="54" t="s">
        <v>27</v>
      </c>
      <c r="AC67" s="54" t="s">
        <v>19</v>
      </c>
      <c r="AD67" s="54" t="s">
        <v>12</v>
      </c>
      <c r="AE67" s="55" t="s">
        <v>646</v>
      </c>
      <c r="AF67" s="55" t="s">
        <v>516</v>
      </c>
    </row>
    <row r="68" spans="1:34" ht="135" customHeight="1" x14ac:dyDescent="0.25">
      <c r="A68" s="54" t="s">
        <v>592</v>
      </c>
      <c r="B68" s="54"/>
      <c r="C68" s="54" t="s">
        <v>98</v>
      </c>
      <c r="D68" s="55" t="s">
        <v>126</v>
      </c>
      <c r="E68" s="55" t="s">
        <v>127</v>
      </c>
      <c r="F68" s="56">
        <f>'Montos de Referencia'!$C$4*'Montos de Referencia'!$I$3*1.01</f>
        <v>167630710</v>
      </c>
      <c r="G68" s="63" t="s">
        <v>496</v>
      </c>
      <c r="H68" s="53" t="s">
        <v>79</v>
      </c>
      <c r="I68" s="34">
        <f>VLOOKUP(H68,'Criterios y Ponderaciones'!$D$48:$J$53,7,0)</f>
        <v>1</v>
      </c>
      <c r="J68" s="53" t="s">
        <v>83</v>
      </c>
      <c r="K68" s="34">
        <f>VLOOKUP(J68,'Criterios y Ponderaciones'!$E$48:$J$52,6,0)</f>
        <v>1</v>
      </c>
      <c r="L68" s="53" t="s">
        <v>41</v>
      </c>
      <c r="M68" s="34">
        <f>VLOOKUP(L68,'Criterios y Ponderaciones'!$F$53:$G$54,2,0)</f>
        <v>1</v>
      </c>
      <c r="N68" s="53" t="s">
        <v>87</v>
      </c>
      <c r="O68" s="34">
        <f>VLOOKUP(N68,'Criterios y Ponderaciones'!$G$48:$J$52,4,0)</f>
        <v>0.75</v>
      </c>
      <c r="P68" s="53" t="s">
        <v>41</v>
      </c>
      <c r="Q68" s="34">
        <f>VLOOKUP(P68,'Criterios y Ponderaciones'!$F$53:$G$54,2,0)</f>
        <v>1</v>
      </c>
      <c r="R68" s="58">
        <f t="shared" si="2"/>
        <v>953.40909090909088</v>
      </c>
      <c r="S68" s="68">
        <v>2018</v>
      </c>
      <c r="T68" s="57">
        <v>42916</v>
      </c>
      <c r="U68" s="57">
        <f>+T68+540</f>
        <v>43456</v>
      </c>
      <c r="V68" s="54" t="s">
        <v>227</v>
      </c>
      <c r="W68" s="54" t="s">
        <v>73</v>
      </c>
      <c r="X68" s="54" t="s">
        <v>72</v>
      </c>
      <c r="Y68" s="54" t="s">
        <v>9</v>
      </c>
      <c r="Z68" s="54" t="s">
        <v>9</v>
      </c>
      <c r="AA68" s="54" t="s">
        <v>27</v>
      </c>
      <c r="AB68" s="54" t="s">
        <v>15</v>
      </c>
      <c r="AC68" s="54" t="s">
        <v>19</v>
      </c>
      <c r="AD68" s="54" t="s">
        <v>12</v>
      </c>
      <c r="AE68" s="55" t="s">
        <v>647</v>
      </c>
      <c r="AF68" s="55" t="s">
        <v>516</v>
      </c>
    </row>
    <row r="69" spans="1:34" ht="70.5" customHeight="1" x14ac:dyDescent="0.25">
      <c r="A69" s="54" t="s">
        <v>592</v>
      </c>
      <c r="B69" s="54"/>
      <c r="C69" s="54" t="s">
        <v>99</v>
      </c>
      <c r="D69" s="55" t="s">
        <v>170</v>
      </c>
      <c r="E69" s="55" t="s">
        <v>662</v>
      </c>
      <c r="F69" s="56">
        <f>(2*'Montos de Referencia'!$C$9+22*'Montos de Referencia'!$C$6+1*'Montos de Referencia'!$C$10)*'Montos de Referencia'!$I$3</f>
        <v>151702000</v>
      </c>
      <c r="G69" s="63" t="s">
        <v>244</v>
      </c>
      <c r="H69" s="53" t="s">
        <v>79</v>
      </c>
      <c r="I69" s="34">
        <f>VLOOKUP(H69,'Criterios y Ponderaciones'!$D$48:$J$53,7,0)</f>
        <v>1</v>
      </c>
      <c r="J69" s="53" t="s">
        <v>83</v>
      </c>
      <c r="K69" s="34">
        <f>VLOOKUP(J69,'Criterios y Ponderaciones'!$E$48:$J$52,6,0)</f>
        <v>1</v>
      </c>
      <c r="L69" s="53" t="s">
        <v>41</v>
      </c>
      <c r="M69" s="34">
        <f>VLOOKUP(L69,'Criterios y Ponderaciones'!$F$53:$G$54,2,0)</f>
        <v>1</v>
      </c>
      <c r="N69" s="53" t="s">
        <v>85</v>
      </c>
      <c r="O69" s="34">
        <f>VLOOKUP(N69,'Criterios y Ponderaciones'!$G$48:$J$52,4,0)</f>
        <v>0.25</v>
      </c>
      <c r="P69" s="53" t="s">
        <v>41</v>
      </c>
      <c r="Q69" s="34">
        <f>VLOOKUP(P69,'Criterios y Ponderaciones'!$F$53:$G$54,2,0)</f>
        <v>1</v>
      </c>
      <c r="R69" s="58">
        <f t="shared" si="2"/>
        <v>860.22727272727275</v>
      </c>
      <c r="S69" s="68">
        <v>2018</v>
      </c>
      <c r="T69" s="57">
        <v>42916</v>
      </c>
      <c r="U69" s="57">
        <f>+T69+540</f>
        <v>43456</v>
      </c>
      <c r="V69" s="54" t="s">
        <v>226</v>
      </c>
      <c r="W69" s="54" t="s">
        <v>8</v>
      </c>
      <c r="X69" s="54" t="s">
        <v>12</v>
      </c>
      <c r="Y69" s="54" t="s">
        <v>12</v>
      </c>
      <c r="Z69" s="54" t="s">
        <v>12</v>
      </c>
      <c r="AA69" s="54" t="s">
        <v>17</v>
      </c>
      <c r="AB69" s="54" t="s">
        <v>27</v>
      </c>
      <c r="AC69" s="54" t="s">
        <v>12</v>
      </c>
      <c r="AD69" s="54" t="s">
        <v>12</v>
      </c>
      <c r="AE69" s="55" t="s">
        <v>620</v>
      </c>
      <c r="AF69" s="55" t="s">
        <v>531</v>
      </c>
    </row>
    <row r="70" spans="1:34" ht="114.75" customHeight="1" x14ac:dyDescent="0.25">
      <c r="A70" s="54" t="s">
        <v>592</v>
      </c>
      <c r="B70" s="54"/>
      <c r="C70" s="54" t="s">
        <v>99</v>
      </c>
      <c r="D70" s="55" t="s">
        <v>168</v>
      </c>
      <c r="E70" s="55" t="s">
        <v>169</v>
      </c>
      <c r="F70" s="56">
        <f>('Montos de Referencia'!$C$3*'Montos de Referencia'!$I$3)*1.03</f>
        <v>140782460</v>
      </c>
      <c r="G70" s="63" t="s">
        <v>243</v>
      </c>
      <c r="H70" s="53" t="s">
        <v>79</v>
      </c>
      <c r="I70" s="34">
        <f>VLOOKUP(H70,'Criterios y Ponderaciones'!$D$48:$J$53,7,0)</f>
        <v>1</v>
      </c>
      <c r="J70" s="53" t="s">
        <v>82</v>
      </c>
      <c r="K70" s="34">
        <f>VLOOKUP(J70,'Criterios y Ponderaciones'!$E$48:$J$52,6,0)</f>
        <v>0.75</v>
      </c>
      <c r="L70" s="53" t="s">
        <v>41</v>
      </c>
      <c r="M70" s="34">
        <f>VLOOKUP(L70,'Criterios y Ponderaciones'!$F$53:$G$54,2,0)</f>
        <v>1</v>
      </c>
      <c r="N70" s="53" t="s">
        <v>85</v>
      </c>
      <c r="O70" s="34">
        <f>VLOOKUP(N70,'Criterios y Ponderaciones'!$G$48:$J$52,4,0)</f>
        <v>0.25</v>
      </c>
      <c r="P70" s="53" t="s">
        <v>41</v>
      </c>
      <c r="Q70" s="34">
        <f>VLOOKUP(P70,'Criterios y Ponderaciones'!$F$53:$G$54,2,0)</f>
        <v>1</v>
      </c>
      <c r="R70" s="58">
        <f t="shared" si="2"/>
        <v>813.63636363636374</v>
      </c>
      <c r="S70" s="68">
        <v>2018</v>
      </c>
      <c r="T70" s="57">
        <v>42916</v>
      </c>
      <c r="U70" s="57">
        <f>+T70+540</f>
        <v>43456</v>
      </c>
      <c r="V70" s="54" t="s">
        <v>226</v>
      </c>
      <c r="W70" s="54" t="s">
        <v>8</v>
      </c>
      <c r="X70" s="54" t="s">
        <v>12</v>
      </c>
      <c r="Y70" s="54" t="s">
        <v>12</v>
      </c>
      <c r="Z70" s="54" t="s">
        <v>12</v>
      </c>
      <c r="AA70" s="54" t="s">
        <v>27</v>
      </c>
      <c r="AB70" s="54" t="s">
        <v>17</v>
      </c>
      <c r="AC70" s="54" t="s">
        <v>12</v>
      </c>
      <c r="AD70" s="54" t="s">
        <v>12</v>
      </c>
      <c r="AE70" s="55" t="s">
        <v>620</v>
      </c>
      <c r="AF70" s="55" t="s">
        <v>531</v>
      </c>
    </row>
    <row r="71" spans="1:34" ht="89.25" customHeight="1" x14ac:dyDescent="0.25">
      <c r="A71" s="54" t="s">
        <v>592</v>
      </c>
      <c r="B71" s="54"/>
      <c r="C71" s="54" t="s">
        <v>99</v>
      </c>
      <c r="D71" s="55" t="s">
        <v>142</v>
      </c>
      <c r="E71" s="55" t="s">
        <v>262</v>
      </c>
      <c r="F71" s="56">
        <f>(2*'Montos de Referencia'!$C$9+50*'Montos de Referencia'!$C$6+2*'Montos de Referencia'!$C$10)*'Montos de Referencia'!$I$3</f>
        <v>280273200</v>
      </c>
      <c r="G71" s="63" t="s">
        <v>606</v>
      </c>
      <c r="H71" s="53" t="s">
        <v>79</v>
      </c>
      <c r="I71" s="34">
        <f>VLOOKUP(H71,'Criterios y Ponderaciones'!$D$48:$J$53,7,0)</f>
        <v>1</v>
      </c>
      <c r="J71" s="53" t="s">
        <v>83</v>
      </c>
      <c r="K71" s="34">
        <f>VLOOKUP(J71,'Criterios y Ponderaciones'!$E$48:$J$52,6,0)</f>
        <v>1</v>
      </c>
      <c r="L71" s="53" t="s">
        <v>41</v>
      </c>
      <c r="M71" s="34">
        <f>VLOOKUP(L71,'Criterios y Ponderaciones'!$F$53:$G$54,2,0)</f>
        <v>1</v>
      </c>
      <c r="N71" s="53" t="s">
        <v>84</v>
      </c>
      <c r="O71" s="34">
        <f>VLOOKUP(N71,'Criterios y Ponderaciones'!$G$48:$J$52,4,0)</f>
        <v>0</v>
      </c>
      <c r="P71" s="53" t="s">
        <v>41</v>
      </c>
      <c r="Q71" s="34">
        <f>VLOOKUP(P71,'Criterios y Ponderaciones'!$F$53:$G$54,2,0)</f>
        <v>1</v>
      </c>
      <c r="R71" s="58">
        <f t="shared" si="2"/>
        <v>813.63636363636363</v>
      </c>
      <c r="S71" s="68">
        <v>2018</v>
      </c>
      <c r="T71" s="57">
        <v>42736</v>
      </c>
      <c r="U71" s="57">
        <f>+T71+720</f>
        <v>43456</v>
      </c>
      <c r="V71" s="54" t="s">
        <v>523</v>
      </c>
      <c r="W71" s="54" t="s">
        <v>8</v>
      </c>
      <c r="X71" s="54" t="s">
        <v>12</v>
      </c>
      <c r="Y71" s="54" t="s">
        <v>12</v>
      </c>
      <c r="Z71" s="54" t="s">
        <v>12</v>
      </c>
      <c r="AA71" s="54" t="s">
        <v>17</v>
      </c>
      <c r="AB71" s="54" t="s">
        <v>27</v>
      </c>
      <c r="AC71" s="54" t="s">
        <v>12</v>
      </c>
      <c r="AD71" s="54" t="s">
        <v>12</v>
      </c>
      <c r="AE71" s="55" t="s">
        <v>612</v>
      </c>
      <c r="AF71" s="55" t="s">
        <v>524</v>
      </c>
    </row>
    <row r="72" spans="1:34" ht="130.5" customHeight="1" x14ac:dyDescent="0.25">
      <c r="A72" s="54" t="s">
        <v>592</v>
      </c>
      <c r="B72" s="54"/>
      <c r="C72" s="54" t="s">
        <v>98</v>
      </c>
      <c r="D72" s="55" t="s">
        <v>325</v>
      </c>
      <c r="E72" s="55" t="s">
        <v>326</v>
      </c>
      <c r="F72" s="56">
        <f>('Montos de Referencia'!$C$4+2.4*'Montos de Referencia'!$C$7)*'Montos de Referencia'!$I$3</f>
        <v>178587800</v>
      </c>
      <c r="G72" s="62"/>
      <c r="H72" s="53" t="s">
        <v>79</v>
      </c>
      <c r="I72" s="34">
        <f>VLOOKUP(H72,'Criterios y Ponderaciones'!$D$48:$J$53,7,0)</f>
        <v>1</v>
      </c>
      <c r="J72" s="53" t="s">
        <v>82</v>
      </c>
      <c r="K72" s="34">
        <f>VLOOKUP(J72,'Criterios y Ponderaciones'!$E$48:$J$52,6,0)</f>
        <v>0.75</v>
      </c>
      <c r="L72" s="53" t="s">
        <v>49</v>
      </c>
      <c r="M72" s="34">
        <f>VLOOKUP(L72,'Criterios y Ponderaciones'!$F$53:$G$54,2,0)</f>
        <v>0</v>
      </c>
      <c r="N72" s="53" t="s">
        <v>86</v>
      </c>
      <c r="O72" s="34">
        <f>VLOOKUP(N72,'Criterios y Ponderaciones'!$G$48:$J$52,4,0)</f>
        <v>0.5</v>
      </c>
      <c r="P72" s="53" t="s">
        <v>41</v>
      </c>
      <c r="Q72" s="34">
        <f>VLOOKUP(P72,'Criterios y Ponderaciones'!$F$53:$G$54,2,0)</f>
        <v>1</v>
      </c>
      <c r="R72" s="58">
        <f>(I72*$I$3+K72*$K$3+M72*$M$3+O72*$O$3+Q72*$Q$3)*1000</f>
        <v>582.95454545454538</v>
      </c>
      <c r="S72" s="68">
        <v>2018</v>
      </c>
      <c r="T72" s="57">
        <f>+U72-540</f>
        <v>42742</v>
      </c>
      <c r="U72" s="57">
        <v>43282</v>
      </c>
      <c r="V72" s="54" t="s">
        <v>363</v>
      </c>
      <c r="W72" s="54" t="s">
        <v>364</v>
      </c>
      <c r="X72" s="54" t="s">
        <v>12</v>
      </c>
      <c r="Y72" s="54" t="s">
        <v>10</v>
      </c>
      <c r="Z72" s="54" t="s">
        <v>9</v>
      </c>
      <c r="AA72" s="54" t="s">
        <v>13</v>
      </c>
      <c r="AB72" s="54" t="s">
        <v>16</v>
      </c>
      <c r="AC72" s="54" t="s">
        <v>19</v>
      </c>
      <c r="AD72" s="54" t="s">
        <v>12</v>
      </c>
      <c r="AE72" s="55" t="s">
        <v>365</v>
      </c>
      <c r="AF72" s="55" t="s">
        <v>366</v>
      </c>
      <c r="AH72" s="4" t="s">
        <v>490</v>
      </c>
    </row>
    <row r="73" spans="1:34" ht="102" customHeight="1" x14ac:dyDescent="0.25">
      <c r="A73" s="54" t="s">
        <v>592</v>
      </c>
      <c r="B73" s="54"/>
      <c r="C73" s="54" t="s">
        <v>98</v>
      </c>
      <c r="D73" s="55" t="s">
        <v>353</v>
      </c>
      <c r="E73" s="55" t="s">
        <v>354</v>
      </c>
      <c r="F73" s="56">
        <v>125500000</v>
      </c>
      <c r="G73" s="62"/>
      <c r="H73" s="53" t="s">
        <v>79</v>
      </c>
      <c r="I73" s="34">
        <f>VLOOKUP(H73,'Criterios y Ponderaciones'!$D$48:$J$53,7,0)</f>
        <v>1</v>
      </c>
      <c r="J73" s="53" t="s">
        <v>83</v>
      </c>
      <c r="K73" s="34">
        <f>VLOOKUP(J73,'Criterios y Ponderaciones'!$E$48:$J$52,6,0)</f>
        <v>1</v>
      </c>
      <c r="L73" s="53" t="s">
        <v>49</v>
      </c>
      <c r="M73" s="34">
        <f>VLOOKUP(L73,'Criterios y Ponderaciones'!$F$53:$G$54,2,0)</f>
        <v>0</v>
      </c>
      <c r="N73" s="53" t="s">
        <v>84</v>
      </c>
      <c r="O73" s="34">
        <f>VLOOKUP(N73,'Criterios y Ponderaciones'!$G$48:$J$52,4,0)</f>
        <v>0</v>
      </c>
      <c r="P73" s="53" t="s">
        <v>41</v>
      </c>
      <c r="Q73" s="34">
        <f>VLOOKUP(P73,'Criterios y Ponderaciones'!$F$53:$G$54,2,0)</f>
        <v>1</v>
      </c>
      <c r="R73" s="58">
        <f t="shared" si="2"/>
        <v>536.36363636363637</v>
      </c>
      <c r="S73" s="68">
        <v>2018</v>
      </c>
      <c r="T73" s="57">
        <f>U73-540</f>
        <v>42741</v>
      </c>
      <c r="U73" s="57">
        <v>43281</v>
      </c>
      <c r="V73" s="54" t="s">
        <v>396</v>
      </c>
      <c r="W73" s="54" t="s">
        <v>8</v>
      </c>
      <c r="X73" s="54" t="s">
        <v>12</v>
      </c>
      <c r="Y73" s="54" t="s">
        <v>12</v>
      </c>
      <c r="Z73" s="54" t="s">
        <v>12</v>
      </c>
      <c r="AA73" s="54" t="s">
        <v>27</v>
      </c>
      <c r="AB73" s="54" t="s">
        <v>16</v>
      </c>
      <c r="AC73" s="54" t="s">
        <v>12</v>
      </c>
      <c r="AD73" s="54" t="s">
        <v>12</v>
      </c>
      <c r="AE73" s="55" t="s">
        <v>397</v>
      </c>
      <c r="AF73" s="55"/>
    </row>
    <row r="74" spans="1:34" ht="94.5" customHeight="1" x14ac:dyDescent="0.25">
      <c r="A74" s="54" t="s">
        <v>592</v>
      </c>
      <c r="B74" s="54"/>
      <c r="C74" s="54" t="s">
        <v>98</v>
      </c>
      <c r="D74" s="55" t="s">
        <v>341</v>
      </c>
      <c r="E74" s="55" t="s">
        <v>342</v>
      </c>
      <c r="F74" s="56">
        <f>60000000*1.023+'Montos de Referencia'!$C$5*'Montos de Referencia'!$I$3</f>
        <v>80906000</v>
      </c>
      <c r="G74" s="62"/>
      <c r="H74" s="53" t="s">
        <v>77</v>
      </c>
      <c r="I74" s="34">
        <f>VLOOKUP(H74,'Criterios y Ponderaciones'!$D$48:$J$53,7,0)</f>
        <v>0.5</v>
      </c>
      <c r="J74" s="53" t="s">
        <v>83</v>
      </c>
      <c r="K74" s="34">
        <f>VLOOKUP(J74,'Criterios y Ponderaciones'!$E$48:$J$52,6,0)</f>
        <v>1</v>
      </c>
      <c r="L74" s="53" t="s">
        <v>49</v>
      </c>
      <c r="M74" s="34">
        <f>VLOOKUP(L74,'Criterios y Ponderaciones'!$F$53:$G$54,2,0)</f>
        <v>0</v>
      </c>
      <c r="N74" s="53" t="s">
        <v>86</v>
      </c>
      <c r="O74" s="34">
        <f>VLOOKUP(N74,'Criterios y Ponderaciones'!$G$48:$J$52,4,0)</f>
        <v>0.5</v>
      </c>
      <c r="P74" s="53" t="s">
        <v>41</v>
      </c>
      <c r="Q74" s="34">
        <f>VLOOKUP(P74,'Criterios y Ponderaciones'!$F$53:$G$54,2,0)</f>
        <v>1</v>
      </c>
      <c r="R74" s="58">
        <f>(I74*$I$3+K74*$K$3+M74*$M$3+O74*$O$3+Q74*$Q$3)*1000</f>
        <v>524.99999999999989</v>
      </c>
      <c r="S74" s="68">
        <v>2018</v>
      </c>
      <c r="T74" s="57">
        <f>U74-360</f>
        <v>42892</v>
      </c>
      <c r="U74" s="57">
        <v>43252</v>
      </c>
      <c r="V74" s="54" t="s">
        <v>378</v>
      </c>
      <c r="W74" s="54" t="s">
        <v>8</v>
      </c>
      <c r="X74" s="54" t="s">
        <v>12</v>
      </c>
      <c r="Y74" s="54" t="s">
        <v>12</v>
      </c>
      <c r="Z74" s="54" t="s">
        <v>12</v>
      </c>
      <c r="AA74" s="54" t="s">
        <v>27</v>
      </c>
      <c r="AB74" s="54" t="s">
        <v>16</v>
      </c>
      <c r="AC74" s="54" t="s">
        <v>12</v>
      </c>
      <c r="AD74" s="54" t="s">
        <v>12</v>
      </c>
      <c r="AE74" s="55" t="s">
        <v>379</v>
      </c>
      <c r="AF74" s="55" t="s">
        <v>380</v>
      </c>
    </row>
    <row r="75" spans="1:34" ht="86.25" customHeight="1" x14ac:dyDescent="0.25">
      <c r="A75" s="54" t="s">
        <v>592</v>
      </c>
      <c r="B75" s="54"/>
      <c r="C75" s="54" t="s">
        <v>98</v>
      </c>
      <c r="D75" s="55" t="s">
        <v>419</v>
      </c>
      <c r="E75" s="55" t="s">
        <v>420</v>
      </c>
      <c r="F75" s="56">
        <f>60000000*1.025+'Montos de Referencia'!$C$5*1.1*'Montos de Referencia'!$I$3</f>
        <v>82978600</v>
      </c>
      <c r="G75" s="62">
        <v>0</v>
      </c>
      <c r="H75" s="53" t="s">
        <v>79</v>
      </c>
      <c r="I75" s="34">
        <f>VLOOKUP(H75,'Criterios y Ponderaciones'!$D$48:$J$53,7,0)</f>
        <v>1</v>
      </c>
      <c r="J75" s="53" t="s">
        <v>81</v>
      </c>
      <c r="K75" s="34">
        <f>VLOOKUP(J75,'Criterios y Ponderaciones'!$E$48:$J$52,6,0)</f>
        <v>0.5</v>
      </c>
      <c r="L75" s="53" t="s">
        <v>49</v>
      </c>
      <c r="M75" s="34">
        <f>VLOOKUP(L75,'Criterios y Ponderaciones'!$F$53:$G$54,2,0)</f>
        <v>0</v>
      </c>
      <c r="N75" s="53" t="s">
        <v>84</v>
      </c>
      <c r="O75" s="34">
        <f>VLOOKUP(N75,'Criterios y Ponderaciones'!$G$48:$J$52,4,0)</f>
        <v>0</v>
      </c>
      <c r="P75" s="53" t="s">
        <v>41</v>
      </c>
      <c r="Q75" s="34">
        <f>VLOOKUP(P75,'Criterios y Ponderaciones'!$F$53:$G$54,2,0)</f>
        <v>1</v>
      </c>
      <c r="R75" s="58">
        <f>(I75*$I$3+K75*$K$3+M75*$M$3+O75*$O$3+Q75*$Q$3)*1000</f>
        <v>443.18181818181813</v>
      </c>
      <c r="S75" s="68">
        <v>2018</v>
      </c>
      <c r="T75" s="57">
        <f>U75-540</f>
        <v>42741</v>
      </c>
      <c r="U75" s="57">
        <v>43281</v>
      </c>
      <c r="V75" s="54" t="s">
        <v>446</v>
      </c>
      <c r="W75" s="54" t="s">
        <v>447</v>
      </c>
      <c r="X75" s="54" t="s">
        <v>228</v>
      </c>
      <c r="Y75" s="54" t="s">
        <v>9</v>
      </c>
      <c r="Z75" s="54" t="s">
        <v>9</v>
      </c>
      <c r="AA75" s="54" t="s">
        <v>443</v>
      </c>
      <c r="AB75" s="54" t="s">
        <v>16</v>
      </c>
      <c r="AC75" s="54" t="s">
        <v>19</v>
      </c>
      <c r="AD75" s="54" t="s">
        <v>12</v>
      </c>
      <c r="AE75" s="55" t="s">
        <v>462</v>
      </c>
      <c r="AF75" s="55" t="s">
        <v>463</v>
      </c>
    </row>
    <row r="76" spans="1:34" ht="74.25" customHeight="1" x14ac:dyDescent="0.25">
      <c r="A76" s="54" t="s">
        <v>592</v>
      </c>
      <c r="B76" s="54"/>
      <c r="C76" s="54" t="s">
        <v>98</v>
      </c>
      <c r="D76" s="55" t="s">
        <v>123</v>
      </c>
      <c r="E76" s="55" t="s">
        <v>600</v>
      </c>
      <c r="F76" s="56">
        <f>('Montos de Referencia'!$C$4+1*'Montos de Referencia'!$C$7)*'Montos de Referencia'!$I$3</f>
        <v>171228000</v>
      </c>
      <c r="G76" s="63"/>
      <c r="H76" s="53" t="s">
        <v>79</v>
      </c>
      <c r="I76" s="34">
        <f>VLOOKUP(H76,'Criterios y Ponderaciones'!$D$48:$J$53,7,0)</f>
        <v>1</v>
      </c>
      <c r="J76" s="53" t="s">
        <v>81</v>
      </c>
      <c r="K76" s="34">
        <f>VLOOKUP(J76,'Criterios y Ponderaciones'!$E$48:$J$52,6,0)</f>
        <v>0.5</v>
      </c>
      <c r="L76" s="53" t="s">
        <v>49</v>
      </c>
      <c r="M76" s="34">
        <f>VLOOKUP(L76,'Criterios y Ponderaciones'!$F$53:$G$54,2,0)</f>
        <v>0</v>
      </c>
      <c r="N76" s="53" t="s">
        <v>84</v>
      </c>
      <c r="O76" s="34">
        <f>VLOOKUP(N76,'Criterios y Ponderaciones'!$G$48:$J$52,4,0)</f>
        <v>0</v>
      </c>
      <c r="P76" s="53" t="s">
        <v>41</v>
      </c>
      <c r="Q76" s="34">
        <f>VLOOKUP(P76,'Criterios y Ponderaciones'!$F$53:$G$54,2,0)</f>
        <v>1</v>
      </c>
      <c r="R76" s="58">
        <f t="shared" si="2"/>
        <v>443.18181818181813</v>
      </c>
      <c r="S76" s="68">
        <v>2018</v>
      </c>
      <c r="T76" s="57">
        <v>42916</v>
      </c>
      <c r="U76" s="57">
        <f>+T76+540</f>
        <v>43456</v>
      </c>
      <c r="V76" s="54" t="s">
        <v>226</v>
      </c>
      <c r="W76" s="54" t="s">
        <v>73</v>
      </c>
      <c r="X76" s="54" t="s">
        <v>12</v>
      </c>
      <c r="Y76" s="54" t="s">
        <v>12</v>
      </c>
      <c r="Z76" s="54" t="s">
        <v>9</v>
      </c>
      <c r="AA76" s="54" t="s">
        <v>27</v>
      </c>
      <c r="AB76" s="54" t="s">
        <v>15</v>
      </c>
      <c r="AC76" s="54" t="s">
        <v>19</v>
      </c>
      <c r="AD76" s="54" t="s">
        <v>12</v>
      </c>
      <c r="AE76" s="55" t="s">
        <v>624</v>
      </c>
      <c r="AF76" s="55" t="s">
        <v>514</v>
      </c>
    </row>
    <row r="77" spans="1:34" ht="65.25" customHeight="1" x14ac:dyDescent="0.25">
      <c r="A77" s="54" t="s">
        <v>592</v>
      </c>
      <c r="B77" s="54"/>
      <c r="C77" s="54" t="s">
        <v>98</v>
      </c>
      <c r="D77" s="55" t="s">
        <v>408</v>
      </c>
      <c r="E77" s="55" t="s">
        <v>409</v>
      </c>
      <c r="F77" s="56">
        <f>('Montos de Referencia'!$C$4*1.15*'Montos de Referencia'!$I$3)*1.02</f>
        <v>194683982.99999997</v>
      </c>
      <c r="G77" s="62">
        <v>0</v>
      </c>
      <c r="H77" s="53" t="s">
        <v>79</v>
      </c>
      <c r="I77" s="34">
        <f>VLOOKUP(H77,'Criterios y Ponderaciones'!$D$48:$J$53,7,0)</f>
        <v>1</v>
      </c>
      <c r="J77" s="53" t="s">
        <v>81</v>
      </c>
      <c r="K77" s="34">
        <f>VLOOKUP(J77,'Criterios y Ponderaciones'!$E$48:$J$52,6,0)</f>
        <v>0.5</v>
      </c>
      <c r="L77" s="53" t="s">
        <v>49</v>
      </c>
      <c r="M77" s="34">
        <f>VLOOKUP(L77,'Criterios y Ponderaciones'!$F$53:$G$54,2,0)</f>
        <v>0</v>
      </c>
      <c r="N77" s="53" t="s">
        <v>84</v>
      </c>
      <c r="O77" s="34">
        <f>VLOOKUP(N77,'Criterios y Ponderaciones'!$G$48:$J$52,4,0)</f>
        <v>0</v>
      </c>
      <c r="P77" s="53" t="s">
        <v>41</v>
      </c>
      <c r="Q77" s="34">
        <f>VLOOKUP(P77,'Criterios y Ponderaciones'!$F$53:$G$54,2,0)</f>
        <v>1</v>
      </c>
      <c r="R77" s="58">
        <f t="shared" si="2"/>
        <v>443.18181818181813</v>
      </c>
      <c r="S77" s="68">
        <v>2018</v>
      </c>
      <c r="T77" s="57">
        <f>U77-540</f>
        <v>42895</v>
      </c>
      <c r="U77" s="57">
        <v>43435</v>
      </c>
      <c r="V77" s="54" t="s">
        <v>446</v>
      </c>
      <c r="W77" s="54" t="s">
        <v>447</v>
      </c>
      <c r="X77" s="54" t="s">
        <v>12</v>
      </c>
      <c r="Y77" s="54" t="s">
        <v>12</v>
      </c>
      <c r="Z77" s="54" t="s">
        <v>9</v>
      </c>
      <c r="AA77" s="54" t="s">
        <v>443</v>
      </c>
      <c r="AB77" s="54" t="s">
        <v>17</v>
      </c>
      <c r="AC77" s="54" t="s">
        <v>19</v>
      </c>
      <c r="AD77" s="54" t="s">
        <v>12</v>
      </c>
      <c r="AE77" s="55" t="s">
        <v>448</v>
      </c>
      <c r="AF77" s="55" t="s">
        <v>449</v>
      </c>
    </row>
    <row r="78" spans="1:34" ht="67.5" customHeight="1" x14ac:dyDescent="0.25">
      <c r="A78" s="54" t="s">
        <v>592</v>
      </c>
      <c r="B78" s="54"/>
      <c r="C78" s="54" t="s">
        <v>98</v>
      </c>
      <c r="D78" s="55" t="s">
        <v>134</v>
      </c>
      <c r="E78" s="55" t="s">
        <v>135</v>
      </c>
      <c r="F78" s="56">
        <f>+('Montos de Referencia'!$C$5*'Montos de Referencia'!$I$3)+60000000</f>
        <v>79526000</v>
      </c>
      <c r="G78" s="63"/>
      <c r="H78" s="53" t="s">
        <v>76</v>
      </c>
      <c r="I78" s="34">
        <f>VLOOKUP(H78,'Criterios y Ponderaciones'!$D$48:$J$53,7,0)</f>
        <v>0.25</v>
      </c>
      <c r="J78" s="53" t="s">
        <v>80</v>
      </c>
      <c r="K78" s="34">
        <f>VLOOKUP(J78,'Criterios y Ponderaciones'!$E$48:$J$52,6,0)</f>
        <v>0.25</v>
      </c>
      <c r="L78" s="53" t="s">
        <v>49</v>
      </c>
      <c r="M78" s="34">
        <f>VLOOKUP(L78,'Criterios y Ponderaciones'!$F$53:$G$54,2,0)</f>
        <v>0</v>
      </c>
      <c r="N78" s="53" t="s">
        <v>88</v>
      </c>
      <c r="O78" s="34">
        <f>VLOOKUP(N78,'Criterios y Ponderaciones'!$G$48:$J$52,4,0)</f>
        <v>1</v>
      </c>
      <c r="P78" s="53" t="s">
        <v>41</v>
      </c>
      <c r="Q78" s="34">
        <f>VLOOKUP(P78,'Criterios y Ponderaciones'!$F$53:$G$54,2,0)</f>
        <v>1</v>
      </c>
      <c r="R78" s="58">
        <f t="shared" si="2"/>
        <v>426.13636363636363</v>
      </c>
      <c r="S78" s="68">
        <v>2018</v>
      </c>
      <c r="T78" s="57">
        <v>42825</v>
      </c>
      <c r="U78" s="57">
        <f>+T78+540</f>
        <v>43365</v>
      </c>
      <c r="V78" s="54" t="s">
        <v>518</v>
      </c>
      <c r="W78" s="54" t="s">
        <v>73</v>
      </c>
      <c r="X78" s="54" t="s">
        <v>12</v>
      </c>
      <c r="Y78" s="54" t="s">
        <v>12</v>
      </c>
      <c r="Z78" s="54" t="s">
        <v>9</v>
      </c>
      <c r="AA78" s="54" t="s">
        <v>27</v>
      </c>
      <c r="AB78" s="54" t="s">
        <v>15</v>
      </c>
      <c r="AC78" s="54" t="s">
        <v>19</v>
      </c>
      <c r="AD78" s="54" t="s">
        <v>12</v>
      </c>
      <c r="AE78" s="55" t="s">
        <v>649</v>
      </c>
      <c r="AF78" s="55" t="s">
        <v>519</v>
      </c>
    </row>
    <row r="79" spans="1:34" ht="86.25" customHeight="1" x14ac:dyDescent="0.25">
      <c r="A79" s="54" t="s">
        <v>592</v>
      </c>
      <c r="B79" s="54"/>
      <c r="C79" s="54" t="s">
        <v>98</v>
      </c>
      <c r="D79" s="55" t="s">
        <v>404</v>
      </c>
      <c r="E79" s="55" t="s">
        <v>404</v>
      </c>
      <c r="F79" s="56">
        <f>('Montos de Referencia'!$C$4*'Montos de Referencia'!$I$3)*1.02</f>
        <v>169290420</v>
      </c>
      <c r="G79" s="62" t="s">
        <v>405</v>
      </c>
      <c r="H79" s="53" t="s">
        <v>76</v>
      </c>
      <c r="I79" s="34">
        <f>VLOOKUP(H79,'Criterios y Ponderaciones'!$D$48:$J$53,7,0)</f>
        <v>0.25</v>
      </c>
      <c r="J79" s="53" t="s">
        <v>82</v>
      </c>
      <c r="K79" s="34">
        <f>VLOOKUP(J79,'Criterios y Ponderaciones'!$E$48:$J$52,6,0)</f>
        <v>0.75</v>
      </c>
      <c r="L79" s="53" t="s">
        <v>49</v>
      </c>
      <c r="M79" s="34">
        <f>VLOOKUP(L79,'Criterios y Ponderaciones'!$F$53:$G$54,2,0)</f>
        <v>0</v>
      </c>
      <c r="N79" s="53" t="s">
        <v>86</v>
      </c>
      <c r="O79" s="34">
        <f>VLOOKUP(N79,'Criterios y Ponderaciones'!$G$48:$J$52,4,0)</f>
        <v>0.5</v>
      </c>
      <c r="P79" s="53" t="s">
        <v>41</v>
      </c>
      <c r="Q79" s="34">
        <f>VLOOKUP(P79,'Criterios y Ponderaciones'!$F$53:$G$54,2,0)</f>
        <v>1</v>
      </c>
      <c r="R79" s="58">
        <f t="shared" si="2"/>
        <v>426.13636363636363</v>
      </c>
      <c r="S79" s="68">
        <v>2018</v>
      </c>
      <c r="T79" s="57">
        <f>U79-540</f>
        <v>42895</v>
      </c>
      <c r="U79" s="57">
        <v>43435</v>
      </c>
      <c r="V79" s="54" t="s">
        <v>442</v>
      </c>
      <c r="W79" s="54" t="s">
        <v>12</v>
      </c>
      <c r="X79" s="54" t="s">
        <v>12</v>
      </c>
      <c r="Y79" s="54" t="s">
        <v>12</v>
      </c>
      <c r="Z79" s="54" t="s">
        <v>12</v>
      </c>
      <c r="AA79" s="54" t="s">
        <v>443</v>
      </c>
      <c r="AB79" s="54" t="s">
        <v>17</v>
      </c>
      <c r="AC79" s="54" t="s">
        <v>12</v>
      </c>
      <c r="AD79" s="54" t="s">
        <v>12</v>
      </c>
      <c r="AE79" s="55" t="s">
        <v>444</v>
      </c>
      <c r="AF79" s="55" t="s">
        <v>445</v>
      </c>
    </row>
    <row r="80" spans="1:34" ht="71.25" customHeight="1" x14ac:dyDescent="0.25">
      <c r="A80" s="54" t="s">
        <v>592</v>
      </c>
      <c r="B80" s="54"/>
      <c r="C80" s="54" t="s">
        <v>98</v>
      </c>
      <c r="D80" s="55" t="s">
        <v>406</v>
      </c>
      <c r="E80" s="55" t="s">
        <v>407</v>
      </c>
      <c r="F80" s="56">
        <f>(65*'Montos de Referencia'!$C$6+1*'Montos de Referencia'!$C$10)*'Montos de Referencia'!$I$3</f>
        <v>278621000</v>
      </c>
      <c r="G80" s="62" t="s">
        <v>404</v>
      </c>
      <c r="H80" s="53" t="s">
        <v>76</v>
      </c>
      <c r="I80" s="34">
        <f>VLOOKUP(H80,'Criterios y Ponderaciones'!$D$48:$J$53,7,0)</f>
        <v>0.25</v>
      </c>
      <c r="J80" s="53" t="s">
        <v>82</v>
      </c>
      <c r="K80" s="34">
        <f>VLOOKUP(J80,'Criterios y Ponderaciones'!$E$48:$J$52,6,0)</f>
        <v>0.75</v>
      </c>
      <c r="L80" s="53" t="s">
        <v>49</v>
      </c>
      <c r="M80" s="34">
        <f>VLOOKUP(L80,'Criterios y Ponderaciones'!$F$53:$G$54,2,0)</f>
        <v>0</v>
      </c>
      <c r="N80" s="53" t="s">
        <v>86</v>
      </c>
      <c r="O80" s="34">
        <f>VLOOKUP(N80,'Criterios y Ponderaciones'!$G$48:$J$52,4,0)</f>
        <v>0.5</v>
      </c>
      <c r="P80" s="53" t="s">
        <v>41</v>
      </c>
      <c r="Q80" s="34">
        <f>VLOOKUP(P80,'Criterios y Ponderaciones'!$F$53:$G$54,2,0)</f>
        <v>1</v>
      </c>
      <c r="R80" s="58">
        <f t="shared" si="2"/>
        <v>426.13636363636363</v>
      </c>
      <c r="S80" s="68">
        <v>2018</v>
      </c>
      <c r="T80" s="57">
        <f>U80-720</f>
        <v>42745</v>
      </c>
      <c r="U80" s="57">
        <v>43465</v>
      </c>
      <c r="V80" s="54" t="s">
        <v>446</v>
      </c>
      <c r="W80" s="54" t="s">
        <v>12</v>
      </c>
      <c r="X80" s="54" t="s">
        <v>12</v>
      </c>
      <c r="Y80" s="54" t="s">
        <v>12</v>
      </c>
      <c r="Z80" s="54" t="s">
        <v>12</v>
      </c>
      <c r="AA80" s="54"/>
      <c r="AB80" s="54" t="s">
        <v>17</v>
      </c>
      <c r="AC80" s="54" t="s">
        <v>12</v>
      </c>
      <c r="AD80" s="54" t="s">
        <v>12</v>
      </c>
      <c r="AE80" s="55" t="s">
        <v>444</v>
      </c>
      <c r="AF80" s="55" t="s">
        <v>445</v>
      </c>
    </row>
    <row r="81" spans="1:34" ht="69.75" customHeight="1" x14ac:dyDescent="0.25">
      <c r="A81" s="54" t="s">
        <v>592</v>
      </c>
      <c r="B81" s="54"/>
      <c r="C81" s="54" t="s">
        <v>98</v>
      </c>
      <c r="D81" s="55" t="s">
        <v>410</v>
      </c>
      <c r="E81" s="55" t="s">
        <v>411</v>
      </c>
      <c r="F81" s="56">
        <v>18024000</v>
      </c>
      <c r="G81" s="62">
        <v>0</v>
      </c>
      <c r="H81" s="53" t="s">
        <v>76</v>
      </c>
      <c r="I81" s="34">
        <f>VLOOKUP(H81,'Criterios y Ponderaciones'!$D$48:$J$53,7,0)</f>
        <v>0.25</v>
      </c>
      <c r="J81" s="53" t="s">
        <v>83</v>
      </c>
      <c r="K81" s="34">
        <f>VLOOKUP(J81,'Criterios y Ponderaciones'!$E$48:$J$52,6,0)</f>
        <v>1</v>
      </c>
      <c r="L81" s="53" t="s">
        <v>49</v>
      </c>
      <c r="M81" s="34">
        <f>VLOOKUP(L81,'Criterios y Ponderaciones'!$F$53:$G$54,2,0)</f>
        <v>0</v>
      </c>
      <c r="N81" s="53" t="s">
        <v>84</v>
      </c>
      <c r="O81" s="34">
        <f>VLOOKUP(N81,'Criterios y Ponderaciones'!$G$48:$J$52,4,0)</f>
        <v>0</v>
      </c>
      <c r="P81" s="53" t="s">
        <v>41</v>
      </c>
      <c r="Q81" s="34">
        <f>VLOOKUP(P81,'Criterios y Ponderaciones'!$F$53:$G$54,2,0)</f>
        <v>1</v>
      </c>
      <c r="R81" s="58">
        <f t="shared" si="2"/>
        <v>379.5454545454545</v>
      </c>
      <c r="S81" s="68">
        <v>2018</v>
      </c>
      <c r="T81" s="57">
        <f>U81-180</f>
        <v>43255</v>
      </c>
      <c r="U81" s="57">
        <v>43435</v>
      </c>
      <c r="V81" s="54" t="s">
        <v>446</v>
      </c>
      <c r="W81" s="54" t="s">
        <v>450</v>
      </c>
      <c r="X81" s="54" t="s">
        <v>228</v>
      </c>
      <c r="Y81" s="54" t="s">
        <v>9</v>
      </c>
      <c r="Z81" s="54" t="s">
        <v>9</v>
      </c>
      <c r="AA81" s="54" t="s">
        <v>443</v>
      </c>
      <c r="AB81" s="54" t="s">
        <v>16</v>
      </c>
      <c r="AC81" s="54" t="s">
        <v>19</v>
      </c>
      <c r="AD81" s="54" t="s">
        <v>12</v>
      </c>
      <c r="AE81" s="55" t="s">
        <v>451</v>
      </c>
      <c r="AF81" s="55" t="s">
        <v>452</v>
      </c>
      <c r="AH81" s="4" t="s">
        <v>488</v>
      </c>
    </row>
    <row r="82" spans="1:34" ht="87" customHeight="1" x14ac:dyDescent="0.25">
      <c r="A82" s="54" t="s">
        <v>592</v>
      </c>
      <c r="B82" s="54"/>
      <c r="C82" s="54" t="s">
        <v>98</v>
      </c>
      <c r="D82" s="55" t="s">
        <v>339</v>
      </c>
      <c r="E82" s="55" t="s">
        <v>340</v>
      </c>
      <c r="F82" s="56">
        <f>60000000*1.03</f>
        <v>61800000</v>
      </c>
      <c r="G82" s="62"/>
      <c r="H82" s="53" t="s">
        <v>76</v>
      </c>
      <c r="I82" s="34">
        <f>VLOOKUP(H82,'Criterios y Ponderaciones'!$D$48:$J$53,7,0)</f>
        <v>0.25</v>
      </c>
      <c r="J82" s="53" t="s">
        <v>80</v>
      </c>
      <c r="K82" s="34">
        <f>VLOOKUP(J82,'Criterios y Ponderaciones'!$E$48:$J$52,6,0)</f>
        <v>0.25</v>
      </c>
      <c r="L82" s="53" t="s">
        <v>49</v>
      </c>
      <c r="M82" s="34">
        <f>VLOOKUP(L82,'Criterios y Ponderaciones'!$F$53:$G$54,2,0)</f>
        <v>0</v>
      </c>
      <c r="N82" s="53" t="s">
        <v>84</v>
      </c>
      <c r="O82" s="34">
        <f>VLOOKUP(N82,'Criterios y Ponderaciones'!$G$48:$J$52,4,0)</f>
        <v>0</v>
      </c>
      <c r="P82" s="53" t="s">
        <v>41</v>
      </c>
      <c r="Q82" s="34">
        <f>VLOOKUP(P82,'Criterios y Ponderaciones'!$F$53:$G$54,2,0)</f>
        <v>1</v>
      </c>
      <c r="R82" s="58">
        <f t="shared" si="2"/>
        <v>239.77272727272725</v>
      </c>
      <c r="S82" s="68">
        <v>2018</v>
      </c>
      <c r="T82" s="57">
        <f>U82-180</f>
        <v>43072</v>
      </c>
      <c r="U82" s="57">
        <v>43252</v>
      </c>
      <c r="V82" s="54" t="s">
        <v>376</v>
      </c>
      <c r="W82" s="54" t="s">
        <v>8</v>
      </c>
      <c r="X82" s="54" t="s">
        <v>12</v>
      </c>
      <c r="Y82" s="54" t="s">
        <v>12</v>
      </c>
      <c r="Z82" s="54" t="s">
        <v>12</v>
      </c>
      <c r="AA82" s="54" t="s">
        <v>27</v>
      </c>
      <c r="AB82" s="54" t="s">
        <v>16</v>
      </c>
      <c r="AC82" s="54" t="s">
        <v>12</v>
      </c>
      <c r="AD82" s="54" t="s">
        <v>12</v>
      </c>
      <c r="AE82" s="55" t="s">
        <v>377</v>
      </c>
      <c r="AF82" s="55"/>
    </row>
    <row r="83" spans="1:34" ht="87" customHeight="1" thickBot="1" x14ac:dyDescent="0.3">
      <c r="A83" s="54" t="s">
        <v>592</v>
      </c>
      <c r="B83" s="54"/>
      <c r="C83" s="54" t="s">
        <v>98</v>
      </c>
      <c r="D83" s="55" t="s">
        <v>350</v>
      </c>
      <c r="E83" s="55" t="s">
        <v>351</v>
      </c>
      <c r="F83" s="119">
        <f>6000000*1.04+'Montos de Referencia'!$C$5*'Montos de Referencia'!$I$3</f>
        <v>25766000</v>
      </c>
      <c r="G83" s="62"/>
      <c r="H83" s="53" t="s">
        <v>76</v>
      </c>
      <c r="I83" s="34">
        <f>VLOOKUP(H83,'Criterios y Ponderaciones'!$D$48:$J$53,7,0)</f>
        <v>0.25</v>
      </c>
      <c r="J83" s="53" t="s">
        <v>80</v>
      </c>
      <c r="K83" s="34">
        <f>VLOOKUP(J83,'Criterios y Ponderaciones'!$E$48:$J$52,6,0)</f>
        <v>0.25</v>
      </c>
      <c r="L83" s="53" t="s">
        <v>49</v>
      </c>
      <c r="M83" s="34">
        <f>VLOOKUP(L83,'Criterios y Ponderaciones'!$F$53:$G$54,2,0)</f>
        <v>0</v>
      </c>
      <c r="N83" s="53" t="s">
        <v>84</v>
      </c>
      <c r="O83" s="34">
        <f>VLOOKUP(N83,'Criterios y Ponderaciones'!$G$48:$J$52,4,0)</f>
        <v>0</v>
      </c>
      <c r="P83" s="53" t="s">
        <v>41</v>
      </c>
      <c r="Q83" s="34">
        <f>VLOOKUP(P83,'Criterios y Ponderaciones'!$F$53:$G$54,2,0)</f>
        <v>1</v>
      </c>
      <c r="R83" s="58">
        <f t="shared" si="2"/>
        <v>239.77272727272725</v>
      </c>
      <c r="S83" s="68">
        <v>2018</v>
      </c>
      <c r="T83" s="57">
        <f>U83-360</f>
        <v>42892</v>
      </c>
      <c r="U83" s="57">
        <v>43252</v>
      </c>
      <c r="V83" s="54" t="s">
        <v>392</v>
      </c>
      <c r="W83" s="54" t="s">
        <v>8</v>
      </c>
      <c r="X83" s="54" t="s">
        <v>12</v>
      </c>
      <c r="Y83" s="54" t="s">
        <v>12</v>
      </c>
      <c r="Z83" s="54" t="s">
        <v>12</v>
      </c>
      <c r="AA83" s="54" t="s">
        <v>27</v>
      </c>
      <c r="AB83" s="54" t="s">
        <v>16</v>
      </c>
      <c r="AC83" s="54" t="s">
        <v>12</v>
      </c>
      <c r="AD83" s="54" t="s">
        <v>12</v>
      </c>
      <c r="AE83" s="55" t="s">
        <v>393</v>
      </c>
      <c r="AF83" s="55"/>
    </row>
    <row r="84" spans="1:34" s="75" customFormat="1" ht="28.5" customHeight="1" thickBot="1" x14ac:dyDescent="0.3">
      <c r="A84" s="96"/>
      <c r="B84" s="97"/>
      <c r="C84" s="97"/>
      <c r="D84" s="98"/>
      <c r="E84" s="144" t="s">
        <v>691</v>
      </c>
      <c r="F84" s="116">
        <f>SUM(F62:F83)</f>
        <v>3150473173</v>
      </c>
      <c r="G84" s="99"/>
      <c r="H84" s="100"/>
      <c r="I84" s="101"/>
      <c r="J84" s="100"/>
      <c r="K84" s="101"/>
      <c r="L84" s="100"/>
      <c r="M84" s="101"/>
      <c r="N84" s="100"/>
      <c r="O84" s="101"/>
      <c r="P84" s="100"/>
      <c r="Q84" s="101"/>
      <c r="R84" s="102"/>
      <c r="S84" s="103"/>
      <c r="T84" s="104"/>
      <c r="U84" s="104"/>
      <c r="V84" s="97"/>
      <c r="W84" s="97"/>
      <c r="X84" s="97"/>
      <c r="Y84" s="97"/>
      <c r="Z84" s="97"/>
      <c r="AA84" s="97"/>
      <c r="AB84" s="97"/>
      <c r="AC84" s="97"/>
      <c r="AD84" s="97"/>
      <c r="AE84" s="98"/>
      <c r="AF84" s="105"/>
      <c r="AH84" s="76"/>
    </row>
    <row r="85" spans="1:34" s="75" customFormat="1" ht="28.5" customHeight="1" thickBot="1" x14ac:dyDescent="0.3">
      <c r="A85" s="106"/>
      <c r="B85" s="107"/>
      <c r="C85" s="107"/>
      <c r="D85" s="108"/>
      <c r="E85" s="108"/>
      <c r="F85" s="117">
        <f>+F84/'Montos de Referencia'!$I$3</f>
        <v>209751875.69906792</v>
      </c>
      <c r="G85" s="109"/>
      <c r="H85" s="110"/>
      <c r="I85" s="111"/>
      <c r="J85" s="110"/>
      <c r="K85" s="111"/>
      <c r="L85" s="110"/>
      <c r="M85" s="111"/>
      <c r="N85" s="110"/>
      <c r="O85" s="111"/>
      <c r="P85" s="110"/>
      <c r="Q85" s="111"/>
      <c r="R85" s="112"/>
      <c r="S85" s="113"/>
      <c r="T85" s="114"/>
      <c r="U85" s="114"/>
      <c r="V85" s="107"/>
      <c r="W85" s="107"/>
      <c r="X85" s="107"/>
      <c r="Y85" s="107"/>
      <c r="Z85" s="107"/>
      <c r="AA85" s="107"/>
      <c r="AB85" s="107"/>
      <c r="AC85" s="107"/>
      <c r="AD85" s="107"/>
      <c r="AE85" s="108"/>
      <c r="AF85" s="115"/>
      <c r="AH85" s="76"/>
    </row>
    <row r="86" spans="1:34" s="75" customFormat="1" ht="6.75" customHeight="1" x14ac:dyDescent="0.25">
      <c r="A86" s="79"/>
      <c r="B86" s="80"/>
      <c r="C86" s="80"/>
      <c r="D86" s="81"/>
      <c r="E86" s="81"/>
      <c r="F86" s="82"/>
      <c r="G86" s="83"/>
      <c r="H86" s="84"/>
      <c r="I86" s="85"/>
      <c r="J86" s="84"/>
      <c r="K86" s="85"/>
      <c r="L86" s="84"/>
      <c r="M86" s="85"/>
      <c r="N86" s="84"/>
      <c r="O86" s="85"/>
      <c r="P86" s="84"/>
      <c r="Q86" s="85"/>
      <c r="R86" s="86"/>
      <c r="S86" s="87"/>
      <c r="T86" s="88"/>
      <c r="U86" s="88"/>
      <c r="V86" s="80"/>
      <c r="W86" s="80"/>
      <c r="X86" s="80"/>
      <c r="Y86" s="80"/>
      <c r="Z86" s="80"/>
      <c r="AA86" s="80"/>
      <c r="AB86" s="80"/>
      <c r="AC86" s="80"/>
      <c r="AD86" s="80"/>
      <c r="AE86" s="81"/>
      <c r="AF86" s="89"/>
      <c r="AH86" s="76"/>
    </row>
    <row r="87" spans="1:34" s="73" customFormat="1" x14ac:dyDescent="0.25">
      <c r="A87" s="169" t="s">
        <v>593</v>
      </c>
      <c r="B87" s="169" t="s">
        <v>594</v>
      </c>
      <c r="C87" s="169" t="s">
        <v>32</v>
      </c>
      <c r="D87" s="169" t="s">
        <v>0</v>
      </c>
      <c r="E87" s="169" t="s">
        <v>1</v>
      </c>
      <c r="F87" s="169" t="s">
        <v>28</v>
      </c>
      <c r="G87" s="169" t="s">
        <v>31</v>
      </c>
      <c r="H87" s="169" t="s">
        <v>64</v>
      </c>
      <c r="I87" s="169"/>
      <c r="J87" s="169"/>
      <c r="K87" s="169"/>
      <c r="L87" s="169"/>
      <c r="M87" s="169"/>
      <c r="N87" s="169"/>
      <c r="O87" s="169"/>
      <c r="P87" s="169"/>
      <c r="Q87" s="169"/>
      <c r="R87" s="171" t="s">
        <v>70</v>
      </c>
      <c r="S87" s="169" t="s">
        <v>671</v>
      </c>
      <c r="T87" s="169" t="s">
        <v>605</v>
      </c>
      <c r="U87" s="169" t="s">
        <v>603</v>
      </c>
      <c r="V87" s="169" t="s">
        <v>25</v>
      </c>
      <c r="W87" s="140" t="s">
        <v>29</v>
      </c>
      <c r="X87" s="140"/>
      <c r="Y87" s="140"/>
      <c r="Z87" s="140"/>
      <c r="AA87" s="140"/>
      <c r="AB87" s="140"/>
      <c r="AC87" s="140"/>
      <c r="AD87" s="140"/>
      <c r="AE87" s="170" t="s">
        <v>89</v>
      </c>
      <c r="AF87" s="170"/>
      <c r="AH87" s="74"/>
    </row>
    <row r="88" spans="1:34" s="1" customFormat="1" x14ac:dyDescent="0.25">
      <c r="A88" s="169"/>
      <c r="B88" s="169"/>
      <c r="C88" s="169"/>
      <c r="D88" s="169"/>
      <c r="E88" s="169"/>
      <c r="F88" s="169"/>
      <c r="G88" s="169"/>
      <c r="H88" s="169" t="s">
        <v>65</v>
      </c>
      <c r="I88" s="169"/>
      <c r="J88" s="169" t="s">
        <v>66</v>
      </c>
      <c r="K88" s="169"/>
      <c r="L88" s="169" t="s">
        <v>67</v>
      </c>
      <c r="M88" s="169"/>
      <c r="N88" s="169" t="s">
        <v>68</v>
      </c>
      <c r="O88" s="169"/>
      <c r="P88" s="169" t="s">
        <v>69</v>
      </c>
      <c r="Q88" s="169"/>
      <c r="R88" s="171"/>
      <c r="S88" s="169"/>
      <c r="T88" s="169"/>
      <c r="U88" s="169"/>
      <c r="V88" s="169"/>
      <c r="W88" s="169" t="s">
        <v>2</v>
      </c>
      <c r="X88" s="170" t="s">
        <v>20</v>
      </c>
      <c r="Y88" s="170"/>
      <c r="Z88" s="169" t="s">
        <v>3</v>
      </c>
      <c r="AA88" s="169" t="s">
        <v>5</v>
      </c>
      <c r="AB88" s="169" t="s">
        <v>6</v>
      </c>
      <c r="AC88" s="169" t="s">
        <v>18</v>
      </c>
      <c r="AD88" s="169" t="s">
        <v>22</v>
      </c>
      <c r="AE88" s="169" t="s">
        <v>23</v>
      </c>
      <c r="AF88" s="169" t="s">
        <v>24</v>
      </c>
      <c r="AH88" s="4"/>
    </row>
    <row r="89" spans="1:34" ht="66" customHeight="1" x14ac:dyDescent="0.25">
      <c r="A89" s="169"/>
      <c r="B89" s="169"/>
      <c r="C89" s="169" t="s">
        <v>30</v>
      </c>
      <c r="D89" s="169"/>
      <c r="E89" s="169"/>
      <c r="F89" s="169"/>
      <c r="G89" s="169"/>
      <c r="H89" s="141" t="s">
        <v>104</v>
      </c>
      <c r="I89" s="141">
        <f>+'Criterios y Ponderaciones'!B107</f>
        <v>0</v>
      </c>
      <c r="J89" s="141" t="s">
        <v>689</v>
      </c>
      <c r="K89" s="141">
        <f>+'Criterios y Ponderaciones'!B108</f>
        <v>0</v>
      </c>
      <c r="L89" s="141" t="s">
        <v>106</v>
      </c>
      <c r="M89" s="141">
        <f>+'Criterios y Ponderaciones'!B109</f>
        <v>0</v>
      </c>
      <c r="N89" s="141" t="s">
        <v>107</v>
      </c>
      <c r="O89" s="141">
        <f>+'Criterios y Ponderaciones'!B110</f>
        <v>0</v>
      </c>
      <c r="P89" s="141" t="s">
        <v>108</v>
      </c>
      <c r="Q89" s="141">
        <f>+'Criterios y Ponderaciones'!B111</f>
        <v>0</v>
      </c>
      <c r="R89" s="171"/>
      <c r="S89" s="169"/>
      <c r="T89" s="169"/>
      <c r="U89" s="169"/>
      <c r="V89" s="169"/>
      <c r="W89" s="169"/>
      <c r="X89" s="142" t="s">
        <v>26</v>
      </c>
      <c r="Y89" s="143" t="s">
        <v>4</v>
      </c>
      <c r="Z89" s="169"/>
      <c r="AA89" s="169"/>
      <c r="AB89" s="169"/>
      <c r="AC89" s="169"/>
      <c r="AD89" s="169"/>
      <c r="AE89" s="169"/>
      <c r="AF89" s="169"/>
    </row>
    <row r="90" spans="1:34" ht="91.5" customHeight="1" x14ac:dyDescent="0.25">
      <c r="A90" s="54" t="s">
        <v>592</v>
      </c>
      <c r="B90" s="54"/>
      <c r="C90" s="54" t="s">
        <v>98</v>
      </c>
      <c r="D90" s="55" t="s">
        <v>117</v>
      </c>
      <c r="E90" s="55" t="s">
        <v>118</v>
      </c>
      <c r="F90" s="56">
        <f>(4*'Montos de Referencia'!$C$8+30*'Montos de Referencia'!$C$6)*'Montos de Referencia'!$I$3</f>
        <v>140286800</v>
      </c>
      <c r="G90" s="63" t="s">
        <v>236</v>
      </c>
      <c r="H90" s="53" t="s">
        <v>79</v>
      </c>
      <c r="I90" s="34">
        <f>VLOOKUP(H90,'Criterios y Ponderaciones'!$D$48:$J$53,7,0)</f>
        <v>1</v>
      </c>
      <c r="J90" s="53" t="s">
        <v>83</v>
      </c>
      <c r="K90" s="34">
        <f>VLOOKUP(J90,'Criterios y Ponderaciones'!$E$48:$J$52,6,0)</f>
        <v>1</v>
      </c>
      <c r="L90" s="53" t="s">
        <v>49</v>
      </c>
      <c r="M90" s="34">
        <f>VLOOKUP(L90,'Criterios y Ponderaciones'!$F$53:$G$54,2,0)</f>
        <v>0</v>
      </c>
      <c r="N90" s="53" t="s">
        <v>88</v>
      </c>
      <c r="O90" s="34">
        <f>VLOOKUP(N90,'Criterios y Ponderaciones'!$G$48:$J$52,4,0)</f>
        <v>1</v>
      </c>
      <c r="P90" s="53" t="s">
        <v>41</v>
      </c>
      <c r="Q90" s="34">
        <f>VLOOKUP(P90,'Criterios y Ponderaciones'!$F$53:$G$54,2,0)</f>
        <v>1</v>
      </c>
      <c r="R90" s="58">
        <f t="shared" ref="R90:R120" si="3">(I90*$I$3+K90*$K$3+M90*$M$3+O90*$O$3+Q90*$Q$3)*1000</f>
        <v>722.72727272727263</v>
      </c>
      <c r="S90" s="68">
        <v>2019</v>
      </c>
      <c r="T90" s="57">
        <v>43100</v>
      </c>
      <c r="U90" s="57">
        <f>+T90+720</f>
        <v>43820</v>
      </c>
      <c r="V90" s="54" t="s">
        <v>226</v>
      </c>
      <c r="W90" s="54" t="s">
        <v>73</v>
      </c>
      <c r="X90" s="54" t="s">
        <v>12</v>
      </c>
      <c r="Y90" s="54" t="s">
        <v>12</v>
      </c>
      <c r="Z90" s="54" t="s">
        <v>9</v>
      </c>
      <c r="AA90" s="54" t="s">
        <v>13</v>
      </c>
      <c r="AB90" s="54" t="s">
        <v>27</v>
      </c>
      <c r="AC90" s="54" t="s">
        <v>19</v>
      </c>
      <c r="AD90" s="54" t="s">
        <v>12</v>
      </c>
      <c r="AE90" s="55" t="s">
        <v>644</v>
      </c>
      <c r="AF90" s="55" t="s">
        <v>513</v>
      </c>
    </row>
    <row r="91" spans="1:34" ht="93" customHeight="1" x14ac:dyDescent="0.25">
      <c r="A91" s="54" t="s">
        <v>592</v>
      </c>
      <c r="B91" s="54"/>
      <c r="C91" s="54" t="s">
        <v>98</v>
      </c>
      <c r="D91" s="55" t="s">
        <v>116</v>
      </c>
      <c r="E91" s="55" t="s">
        <v>260</v>
      </c>
      <c r="F91" s="56">
        <f>+'Montos de Referencia'!$C$3*'Montos de Referencia'!$I$3*1.01</f>
        <v>138048820</v>
      </c>
      <c r="G91" s="63" t="s">
        <v>492</v>
      </c>
      <c r="H91" s="53" t="s">
        <v>79</v>
      </c>
      <c r="I91" s="34">
        <f>VLOOKUP(H91,'Criterios y Ponderaciones'!$D$48:$J$53,7,0)</f>
        <v>1</v>
      </c>
      <c r="J91" s="53" t="s">
        <v>83</v>
      </c>
      <c r="K91" s="34">
        <f>VLOOKUP(J91,'Criterios y Ponderaciones'!$E$48:$J$52,6,0)</f>
        <v>1</v>
      </c>
      <c r="L91" s="53" t="s">
        <v>49</v>
      </c>
      <c r="M91" s="34">
        <f>VLOOKUP(L91,'Criterios y Ponderaciones'!$F$53:$G$54,2,0)</f>
        <v>0</v>
      </c>
      <c r="N91" s="53" t="s">
        <v>88</v>
      </c>
      <c r="O91" s="34">
        <f>VLOOKUP(N91,'Criterios y Ponderaciones'!$G$48:$J$52,4,0)</f>
        <v>1</v>
      </c>
      <c r="P91" s="53" t="s">
        <v>41</v>
      </c>
      <c r="Q91" s="34">
        <f>VLOOKUP(P91,'Criterios y Ponderaciones'!$F$53:$G$54,2,0)</f>
        <v>1</v>
      </c>
      <c r="R91" s="58">
        <f t="shared" si="3"/>
        <v>722.72727272727263</v>
      </c>
      <c r="S91" s="68">
        <v>2019</v>
      </c>
      <c r="T91" s="57">
        <v>43281</v>
      </c>
      <c r="U91" s="57">
        <f>+T91+540</f>
        <v>43821</v>
      </c>
      <c r="V91" s="54" t="s">
        <v>226</v>
      </c>
      <c r="W91" s="54" t="s">
        <v>73</v>
      </c>
      <c r="X91" s="54" t="s">
        <v>12</v>
      </c>
      <c r="Y91" s="54" t="s">
        <v>12</v>
      </c>
      <c r="Z91" s="54" t="s">
        <v>9</v>
      </c>
      <c r="AA91" s="54" t="s">
        <v>27</v>
      </c>
      <c r="AB91" s="54" t="s">
        <v>15</v>
      </c>
      <c r="AC91" s="54" t="s">
        <v>19</v>
      </c>
      <c r="AD91" s="54" t="s">
        <v>12</v>
      </c>
      <c r="AE91" s="55" t="s">
        <v>644</v>
      </c>
      <c r="AF91" s="55" t="s">
        <v>513</v>
      </c>
    </row>
    <row r="92" spans="1:34" ht="116.25" customHeight="1" x14ac:dyDescent="0.25">
      <c r="A92" s="54" t="s">
        <v>592</v>
      </c>
      <c r="B92" s="54"/>
      <c r="C92" s="54" t="s">
        <v>98</v>
      </c>
      <c r="D92" s="55" t="s">
        <v>121</v>
      </c>
      <c r="E92" s="55" t="s">
        <v>122</v>
      </c>
      <c r="F92" s="56">
        <f>+(2*'Montos de Referencia'!$C$9+29*'Montos de Referencia'!$C$6)*'Montos de Referencia'!$I$3</f>
        <v>165069800</v>
      </c>
      <c r="G92" s="63" t="s">
        <v>237</v>
      </c>
      <c r="H92" s="53" t="s">
        <v>79</v>
      </c>
      <c r="I92" s="34">
        <f>VLOOKUP(H92,'Criterios y Ponderaciones'!$D$48:$J$53,7,0)</f>
        <v>1</v>
      </c>
      <c r="J92" s="53" t="s">
        <v>83</v>
      </c>
      <c r="K92" s="34">
        <f>VLOOKUP(J92,'Criterios y Ponderaciones'!$E$48:$J$52,6,0)</f>
        <v>1</v>
      </c>
      <c r="L92" s="53" t="s">
        <v>49</v>
      </c>
      <c r="M92" s="34">
        <f>VLOOKUP(L92,'Criterios y Ponderaciones'!$F$53:$G$54,2,0)</f>
        <v>0</v>
      </c>
      <c r="N92" s="53" t="s">
        <v>88</v>
      </c>
      <c r="O92" s="34">
        <f>VLOOKUP(N92,'Criterios y Ponderaciones'!$G$48:$J$52,4,0)</f>
        <v>1</v>
      </c>
      <c r="P92" s="53" t="s">
        <v>41</v>
      </c>
      <c r="Q92" s="34">
        <f>VLOOKUP(P92,'Criterios y Ponderaciones'!$F$53:$G$54,2,0)</f>
        <v>1</v>
      </c>
      <c r="R92" s="58">
        <f t="shared" si="3"/>
        <v>722.72727272727263</v>
      </c>
      <c r="S92" s="68">
        <v>2019</v>
      </c>
      <c r="T92" s="57">
        <v>43281</v>
      </c>
      <c r="U92" s="57">
        <f>+T92+540</f>
        <v>43821</v>
      </c>
      <c r="V92" s="54" t="s">
        <v>226</v>
      </c>
      <c r="W92" s="54" t="s">
        <v>73</v>
      </c>
      <c r="X92" s="54" t="s">
        <v>12</v>
      </c>
      <c r="Y92" s="54" t="s">
        <v>12</v>
      </c>
      <c r="Z92" s="54" t="s">
        <v>9</v>
      </c>
      <c r="AA92" s="54" t="s">
        <v>13</v>
      </c>
      <c r="AB92" s="54" t="s">
        <v>27</v>
      </c>
      <c r="AC92" s="54" t="s">
        <v>19</v>
      </c>
      <c r="AD92" s="54" t="s">
        <v>12</v>
      </c>
      <c r="AE92" s="55" t="s">
        <v>644</v>
      </c>
      <c r="AF92" s="55" t="s">
        <v>513</v>
      </c>
    </row>
    <row r="93" spans="1:34" ht="63.75" customHeight="1" x14ac:dyDescent="0.25">
      <c r="A93" s="54" t="s">
        <v>592</v>
      </c>
      <c r="B93" s="54"/>
      <c r="C93" s="54" t="s">
        <v>98</v>
      </c>
      <c r="D93" s="55" t="s">
        <v>119</v>
      </c>
      <c r="E93" s="55" t="s">
        <v>120</v>
      </c>
      <c r="F93" s="56">
        <f>+'Montos de Referencia'!$C$10*'Montos de Referencia'!$I$3</f>
        <v>15020000</v>
      </c>
      <c r="G93" s="63" t="s">
        <v>493</v>
      </c>
      <c r="H93" s="53" t="s">
        <v>79</v>
      </c>
      <c r="I93" s="34">
        <f>VLOOKUP(H93,'Criterios y Ponderaciones'!$D$48:$J$53,7,0)</f>
        <v>1</v>
      </c>
      <c r="J93" s="53" t="s">
        <v>83</v>
      </c>
      <c r="K93" s="34">
        <f>VLOOKUP(J93,'Criterios y Ponderaciones'!$E$48:$J$52,6,0)</f>
        <v>1</v>
      </c>
      <c r="L93" s="53" t="s">
        <v>49</v>
      </c>
      <c r="M93" s="34">
        <f>VLOOKUP(L93,'Criterios y Ponderaciones'!$F$53:$G$54,2,0)</f>
        <v>0</v>
      </c>
      <c r="N93" s="53" t="s">
        <v>88</v>
      </c>
      <c r="O93" s="34">
        <f>VLOOKUP(N93,'Criterios y Ponderaciones'!$G$48:$J$52,4,0)</f>
        <v>1</v>
      </c>
      <c r="P93" s="53" t="s">
        <v>41</v>
      </c>
      <c r="Q93" s="34">
        <f>VLOOKUP(P93,'Criterios y Ponderaciones'!$F$53:$G$54,2,0)</f>
        <v>1</v>
      </c>
      <c r="R93" s="58">
        <f t="shared" si="3"/>
        <v>722.72727272727263</v>
      </c>
      <c r="S93" s="68">
        <v>2019</v>
      </c>
      <c r="T93" s="57">
        <v>43465</v>
      </c>
      <c r="U93" s="57">
        <f>+T93+360</f>
        <v>43825</v>
      </c>
      <c r="V93" s="54" t="s">
        <v>226</v>
      </c>
      <c r="W93" s="54" t="s">
        <v>73</v>
      </c>
      <c r="X93" s="54" t="s">
        <v>12</v>
      </c>
      <c r="Y93" s="54" t="s">
        <v>12</v>
      </c>
      <c r="Z93" s="54" t="s">
        <v>9</v>
      </c>
      <c r="AA93" s="54" t="s">
        <v>27</v>
      </c>
      <c r="AB93" s="54" t="s">
        <v>15</v>
      </c>
      <c r="AC93" s="54" t="s">
        <v>19</v>
      </c>
      <c r="AD93" s="54" t="s">
        <v>12</v>
      </c>
      <c r="AE93" s="55" t="s">
        <v>644</v>
      </c>
      <c r="AF93" s="55" t="s">
        <v>513</v>
      </c>
    </row>
    <row r="94" spans="1:34" ht="72" customHeight="1" x14ac:dyDescent="0.25">
      <c r="A94" s="54" t="s">
        <v>592</v>
      </c>
      <c r="B94" s="54"/>
      <c r="C94" s="54" t="s">
        <v>98</v>
      </c>
      <c r="D94" s="55" t="s">
        <v>124</v>
      </c>
      <c r="E94" s="55" t="s">
        <v>125</v>
      </c>
      <c r="F94" s="56">
        <f>(57*'Montos de Referencia'!$C$6+2*'Montos de Referencia'!$C$10)*'Montos de Referencia'!$I$3</f>
        <v>261197800</v>
      </c>
      <c r="G94" s="63" t="s">
        <v>494</v>
      </c>
      <c r="H94" s="53" t="s">
        <v>79</v>
      </c>
      <c r="I94" s="34">
        <f>VLOOKUP(H94,'Criterios y Ponderaciones'!$D$48:$J$53,7,0)</f>
        <v>1</v>
      </c>
      <c r="J94" s="53" t="s">
        <v>83</v>
      </c>
      <c r="K94" s="34">
        <f>VLOOKUP(J94,'Criterios y Ponderaciones'!$E$48:$J$52,6,0)</f>
        <v>1</v>
      </c>
      <c r="L94" s="53" t="s">
        <v>49</v>
      </c>
      <c r="M94" s="34">
        <f>VLOOKUP(L94,'Criterios y Ponderaciones'!$F$53:$G$54,2,0)</f>
        <v>0</v>
      </c>
      <c r="N94" s="53" t="s">
        <v>88</v>
      </c>
      <c r="O94" s="34">
        <f>VLOOKUP(N94,'Criterios y Ponderaciones'!$G$48:$J$52,4,0)</f>
        <v>1</v>
      </c>
      <c r="P94" s="53" t="s">
        <v>41</v>
      </c>
      <c r="Q94" s="34">
        <f>VLOOKUP(P94,'Criterios y Ponderaciones'!$F$53:$G$54,2,0)</f>
        <v>1</v>
      </c>
      <c r="R94" s="58">
        <f t="shared" si="3"/>
        <v>722.72727272727263</v>
      </c>
      <c r="S94" s="68">
        <v>2019</v>
      </c>
      <c r="T94" s="57">
        <v>43100</v>
      </c>
      <c r="U94" s="57">
        <f>+T94+720</f>
        <v>43820</v>
      </c>
      <c r="V94" s="54" t="s">
        <v>226</v>
      </c>
      <c r="W94" s="54" t="s">
        <v>73</v>
      </c>
      <c r="X94" s="54" t="s">
        <v>12</v>
      </c>
      <c r="Y94" s="54" t="s">
        <v>12</v>
      </c>
      <c r="Z94" s="54" t="s">
        <v>9</v>
      </c>
      <c r="AA94" s="54" t="s">
        <v>13</v>
      </c>
      <c r="AB94" s="54" t="s">
        <v>27</v>
      </c>
      <c r="AC94" s="54" t="s">
        <v>19</v>
      </c>
      <c r="AD94" s="54" t="s">
        <v>12</v>
      </c>
      <c r="AE94" s="55" t="s">
        <v>645</v>
      </c>
      <c r="AF94" s="55" t="s">
        <v>515</v>
      </c>
    </row>
    <row r="95" spans="1:34" ht="68.25" customHeight="1" x14ac:dyDescent="0.25">
      <c r="A95" s="54" t="s">
        <v>592</v>
      </c>
      <c r="B95" s="54"/>
      <c r="C95" s="54" t="s">
        <v>98</v>
      </c>
      <c r="D95" s="55" t="s">
        <v>132</v>
      </c>
      <c r="E95" s="55" t="s">
        <v>133</v>
      </c>
      <c r="F95" s="56">
        <f>(98.5*'Montos de Referencia'!$C$6+2.5*'Montos de Referencia'!$C$9+1*'Montos de Referencia'!$C$10)*'Montos de Referencia'!$I$3</f>
        <v>473805900</v>
      </c>
      <c r="G95" s="63" t="s">
        <v>494</v>
      </c>
      <c r="H95" s="53" t="s">
        <v>79</v>
      </c>
      <c r="I95" s="34">
        <f>VLOOKUP(H95,'Criterios y Ponderaciones'!$D$48:$J$53,7,0)</f>
        <v>1</v>
      </c>
      <c r="J95" s="53" t="s">
        <v>83</v>
      </c>
      <c r="K95" s="34">
        <f>VLOOKUP(J95,'Criterios y Ponderaciones'!$E$48:$J$52,6,0)</f>
        <v>1</v>
      </c>
      <c r="L95" s="53" t="s">
        <v>49</v>
      </c>
      <c r="M95" s="34">
        <f>VLOOKUP(L95,'Criterios y Ponderaciones'!$F$53:$G$54,2,0)</f>
        <v>0</v>
      </c>
      <c r="N95" s="53" t="s">
        <v>88</v>
      </c>
      <c r="O95" s="34">
        <f>VLOOKUP(N95,'Criterios y Ponderaciones'!$G$48:$J$52,4,0)</f>
        <v>1</v>
      </c>
      <c r="P95" s="53" t="s">
        <v>41</v>
      </c>
      <c r="Q95" s="34">
        <f>VLOOKUP(P95,'Criterios y Ponderaciones'!$F$53:$G$54,2,0)</f>
        <v>1</v>
      </c>
      <c r="R95" s="58">
        <f t="shared" si="3"/>
        <v>722.72727272727263</v>
      </c>
      <c r="S95" s="68">
        <v>2019</v>
      </c>
      <c r="T95" s="57">
        <v>43101</v>
      </c>
      <c r="U95" s="57">
        <f>+T95+720</f>
        <v>43821</v>
      </c>
      <c r="V95" s="54" t="s">
        <v>226</v>
      </c>
      <c r="W95" s="54" t="s">
        <v>73</v>
      </c>
      <c r="X95" s="54" t="s">
        <v>12</v>
      </c>
      <c r="Y95" s="54" t="s">
        <v>12</v>
      </c>
      <c r="Z95" s="54" t="s">
        <v>9</v>
      </c>
      <c r="AA95" s="54" t="s">
        <v>13</v>
      </c>
      <c r="AB95" s="54" t="s">
        <v>27</v>
      </c>
      <c r="AC95" s="54" t="s">
        <v>19</v>
      </c>
      <c r="AD95" s="54" t="s">
        <v>12</v>
      </c>
      <c r="AE95" s="55" t="s">
        <v>648</v>
      </c>
      <c r="AF95" s="55" t="s">
        <v>601</v>
      </c>
    </row>
    <row r="96" spans="1:34" ht="73.5" customHeight="1" x14ac:dyDescent="0.25">
      <c r="A96" s="54" t="s">
        <v>592</v>
      </c>
      <c r="B96" s="54"/>
      <c r="C96" s="54" t="s">
        <v>98</v>
      </c>
      <c r="D96" s="55" t="s">
        <v>130</v>
      </c>
      <c r="E96" s="55" t="s">
        <v>131</v>
      </c>
      <c r="F96" s="56">
        <f>'Montos de Referencia'!$C$4*'Montos de Referencia'!$I$3*1.014</f>
        <v>168294594</v>
      </c>
      <c r="G96" s="63" t="s">
        <v>238</v>
      </c>
      <c r="H96" s="53" t="s">
        <v>79</v>
      </c>
      <c r="I96" s="34">
        <f>VLOOKUP(H96,'Criterios y Ponderaciones'!$D$48:$J$53,7,0)</f>
        <v>1</v>
      </c>
      <c r="J96" s="53" t="s">
        <v>83</v>
      </c>
      <c r="K96" s="34">
        <f>VLOOKUP(J96,'Criterios y Ponderaciones'!$E$48:$J$52,6,0)</f>
        <v>1</v>
      </c>
      <c r="L96" s="53" t="s">
        <v>49</v>
      </c>
      <c r="M96" s="34">
        <f>VLOOKUP(L96,'Criterios y Ponderaciones'!$F$53:$G$54,2,0)</f>
        <v>0</v>
      </c>
      <c r="N96" s="53" t="s">
        <v>88</v>
      </c>
      <c r="O96" s="34">
        <f>VLOOKUP(N96,'Criterios y Ponderaciones'!$G$48:$J$52,4,0)</f>
        <v>1</v>
      </c>
      <c r="P96" s="53" t="s">
        <v>41</v>
      </c>
      <c r="Q96" s="34">
        <f>VLOOKUP(P96,'Criterios y Ponderaciones'!$F$53:$G$54,2,0)</f>
        <v>1</v>
      </c>
      <c r="R96" s="58">
        <f t="shared" si="3"/>
        <v>722.72727272727263</v>
      </c>
      <c r="S96" s="68">
        <v>2019</v>
      </c>
      <c r="T96" s="57">
        <v>43281</v>
      </c>
      <c r="U96" s="57">
        <f>+T96+540</f>
        <v>43821</v>
      </c>
      <c r="V96" s="54" t="s">
        <v>226</v>
      </c>
      <c r="W96" s="54" t="s">
        <v>73</v>
      </c>
      <c r="X96" s="54" t="s">
        <v>12</v>
      </c>
      <c r="Y96" s="54" t="s">
        <v>12</v>
      </c>
      <c r="Z96" s="54" t="s">
        <v>9</v>
      </c>
      <c r="AA96" s="54" t="s">
        <v>27</v>
      </c>
      <c r="AB96" s="54" t="s">
        <v>15</v>
      </c>
      <c r="AC96" s="54" t="s">
        <v>19</v>
      </c>
      <c r="AD96" s="54" t="s">
        <v>12</v>
      </c>
      <c r="AE96" s="55" t="s">
        <v>648</v>
      </c>
      <c r="AF96" s="55" t="s">
        <v>517</v>
      </c>
    </row>
    <row r="97" spans="1:32" ht="72.75" customHeight="1" x14ac:dyDescent="0.25">
      <c r="A97" s="54" t="s">
        <v>592</v>
      </c>
      <c r="B97" s="54"/>
      <c r="C97" s="54" t="s">
        <v>99</v>
      </c>
      <c r="D97" s="55" t="s">
        <v>158</v>
      </c>
      <c r="E97" s="55" t="s">
        <v>278</v>
      </c>
      <c r="F97" s="56">
        <f>(48*'Montos de Referencia'!$C$6+1*'Montos de Referencia'!$C$10)*'Montos de Referencia'!$I$3</f>
        <v>209679200</v>
      </c>
      <c r="G97" s="63" t="s">
        <v>499</v>
      </c>
      <c r="H97" s="53" t="s">
        <v>79</v>
      </c>
      <c r="I97" s="34">
        <f>VLOOKUP(H97,'Criterios y Ponderaciones'!$D$48:$J$53,7,0)</f>
        <v>1</v>
      </c>
      <c r="J97" s="53" t="s">
        <v>83</v>
      </c>
      <c r="K97" s="34">
        <f>VLOOKUP(J97,'Criterios y Ponderaciones'!$E$48:$J$52,6,0)</f>
        <v>1</v>
      </c>
      <c r="L97" s="53" t="s">
        <v>49</v>
      </c>
      <c r="M97" s="34">
        <f>VLOOKUP(L97,'Criterios y Ponderaciones'!$F$53:$G$54,2,0)</f>
        <v>0</v>
      </c>
      <c r="N97" s="53" t="s">
        <v>88</v>
      </c>
      <c r="O97" s="34">
        <f>VLOOKUP(N97,'Criterios y Ponderaciones'!$G$48:$J$52,4,0)</f>
        <v>1</v>
      </c>
      <c r="P97" s="53" t="s">
        <v>41</v>
      </c>
      <c r="Q97" s="34">
        <f>VLOOKUP(P97,'Criterios y Ponderaciones'!$F$53:$G$54,2,0)</f>
        <v>1</v>
      </c>
      <c r="R97" s="58">
        <f t="shared" si="3"/>
        <v>722.72727272727263</v>
      </c>
      <c r="S97" s="68">
        <v>2019</v>
      </c>
      <c r="T97" s="57">
        <v>43101</v>
      </c>
      <c r="U97" s="57">
        <f>+T97+720</f>
        <v>43821</v>
      </c>
      <c r="V97" s="54" t="s">
        <v>226</v>
      </c>
      <c r="W97" s="54" t="s">
        <v>8</v>
      </c>
      <c r="X97" s="54" t="s">
        <v>12</v>
      </c>
      <c r="Y97" s="54" t="s">
        <v>12</v>
      </c>
      <c r="Z97" s="54" t="s">
        <v>12</v>
      </c>
      <c r="AA97" s="54" t="s">
        <v>17</v>
      </c>
      <c r="AB97" s="54" t="s">
        <v>27</v>
      </c>
      <c r="AC97" s="54" t="s">
        <v>12</v>
      </c>
      <c r="AD97" s="54" t="s">
        <v>12</v>
      </c>
      <c r="AE97" s="55" t="s">
        <v>616</v>
      </c>
      <c r="AF97" s="55" t="s">
        <v>668</v>
      </c>
    </row>
    <row r="98" spans="1:32" ht="72.75" customHeight="1" x14ac:dyDescent="0.25">
      <c r="A98" s="54" t="s">
        <v>592</v>
      </c>
      <c r="B98" s="54"/>
      <c r="C98" s="54" t="s">
        <v>99</v>
      </c>
      <c r="D98" s="55" t="s">
        <v>155</v>
      </c>
      <c r="E98" s="55" t="s">
        <v>156</v>
      </c>
      <c r="F98" s="56">
        <f>('Montos de Referencia'!$C$3*'Montos de Referencia'!$I$3)*1.005</f>
        <v>137365410</v>
      </c>
      <c r="G98" s="63" t="s">
        <v>500</v>
      </c>
      <c r="H98" s="53" t="s">
        <v>79</v>
      </c>
      <c r="I98" s="34">
        <f>VLOOKUP(H98,'Criterios y Ponderaciones'!$D$48:$J$53,7,0)</f>
        <v>1</v>
      </c>
      <c r="J98" s="53" t="s">
        <v>83</v>
      </c>
      <c r="K98" s="34">
        <f>VLOOKUP(J98,'Criterios y Ponderaciones'!$E$48:$J$52,6,0)</f>
        <v>1</v>
      </c>
      <c r="L98" s="53" t="s">
        <v>49</v>
      </c>
      <c r="M98" s="34">
        <f>VLOOKUP(L98,'Criterios y Ponderaciones'!$F$53:$G$54,2,0)</f>
        <v>0</v>
      </c>
      <c r="N98" s="53" t="s">
        <v>88</v>
      </c>
      <c r="O98" s="34">
        <f>VLOOKUP(N98,'Criterios y Ponderaciones'!$G$48:$J$52,4,0)</f>
        <v>1</v>
      </c>
      <c r="P98" s="53" t="s">
        <v>41</v>
      </c>
      <c r="Q98" s="34">
        <f>VLOOKUP(P98,'Criterios y Ponderaciones'!$F$53:$G$54,2,0)</f>
        <v>1</v>
      </c>
      <c r="R98" s="58">
        <f t="shared" si="3"/>
        <v>722.72727272727263</v>
      </c>
      <c r="S98" s="68">
        <v>2019</v>
      </c>
      <c r="T98" s="57">
        <v>43282</v>
      </c>
      <c r="U98" s="57">
        <f>+T98+540</f>
        <v>43822</v>
      </c>
      <c r="V98" s="54" t="s">
        <v>226</v>
      </c>
      <c r="W98" s="54" t="s">
        <v>8</v>
      </c>
      <c r="X98" s="54" t="s">
        <v>12</v>
      </c>
      <c r="Y98" s="54" t="s">
        <v>12</v>
      </c>
      <c r="Z98" s="54" t="s">
        <v>12</v>
      </c>
      <c r="AA98" s="54" t="s">
        <v>27</v>
      </c>
      <c r="AB98" s="54" t="s">
        <v>17</v>
      </c>
      <c r="AC98" s="54" t="s">
        <v>12</v>
      </c>
      <c r="AD98" s="54" t="s">
        <v>12</v>
      </c>
      <c r="AE98" s="55" t="s">
        <v>617</v>
      </c>
      <c r="AF98" s="55" t="s">
        <v>668</v>
      </c>
    </row>
    <row r="99" spans="1:32" ht="60" x14ac:dyDescent="0.25">
      <c r="A99" s="54" t="s">
        <v>592</v>
      </c>
      <c r="B99" s="54"/>
      <c r="C99" s="54" t="s">
        <v>98</v>
      </c>
      <c r="D99" s="55" t="s">
        <v>296</v>
      </c>
      <c r="E99" s="55" t="s">
        <v>297</v>
      </c>
      <c r="F99" s="56">
        <v>239068533.97874999</v>
      </c>
      <c r="G99" s="62"/>
      <c r="H99" s="53" t="s">
        <v>79</v>
      </c>
      <c r="I99" s="34">
        <f>VLOOKUP(H99,'Criterios y Ponderaciones'!$D$48:$J$53,7,0)</f>
        <v>1</v>
      </c>
      <c r="J99" s="53" t="s">
        <v>80</v>
      </c>
      <c r="K99" s="34">
        <f>VLOOKUP(J99,'Criterios y Ponderaciones'!$E$48:$J$52,6,0)</f>
        <v>0.25</v>
      </c>
      <c r="L99" s="53" t="s">
        <v>41</v>
      </c>
      <c r="M99" s="34">
        <f>VLOOKUP(L99,'Criterios y Ponderaciones'!$F$53:$G$54,2,0)</f>
        <v>1</v>
      </c>
      <c r="N99" s="53" t="s">
        <v>85</v>
      </c>
      <c r="O99" s="34">
        <f>VLOOKUP(N99,'Criterios y Ponderaciones'!$G$48:$J$52,4,0)</f>
        <v>0.25</v>
      </c>
      <c r="P99" s="53" t="s">
        <v>41</v>
      </c>
      <c r="Q99" s="34">
        <f>VLOOKUP(P99,'Criterios y Ponderaciones'!$F$53:$G$54,2,0)</f>
        <v>1</v>
      </c>
      <c r="R99" s="58">
        <f>(I99*$I$3+K99*$K$3+M99*$M$3+O99*$O$3+Q99*$Q$3)*1000</f>
        <v>720.4545454545455</v>
      </c>
      <c r="S99" s="68">
        <v>2019</v>
      </c>
      <c r="T99" s="57">
        <v>43160</v>
      </c>
      <c r="U99" s="57">
        <v>43830</v>
      </c>
      <c r="V99" s="54" t="s">
        <v>305</v>
      </c>
      <c r="W99" s="54" t="s">
        <v>306</v>
      </c>
      <c r="X99" s="54" t="s">
        <v>681</v>
      </c>
      <c r="Y99" s="54" t="s">
        <v>9</v>
      </c>
      <c r="Z99" s="54" t="s">
        <v>12</v>
      </c>
      <c r="AA99" s="54" t="s">
        <v>13</v>
      </c>
      <c r="AB99" s="54" t="s">
        <v>15</v>
      </c>
      <c r="AC99" s="54" t="s">
        <v>12</v>
      </c>
      <c r="AD99" s="54" t="s">
        <v>12</v>
      </c>
      <c r="AE99" s="55" t="s">
        <v>318</v>
      </c>
      <c r="AF99" s="55" t="s">
        <v>319</v>
      </c>
    </row>
    <row r="100" spans="1:32" ht="72.75" customHeight="1" x14ac:dyDescent="0.25">
      <c r="A100" s="54" t="s">
        <v>592</v>
      </c>
      <c r="B100" s="54"/>
      <c r="C100" s="54" t="s">
        <v>98</v>
      </c>
      <c r="D100" s="55" t="s">
        <v>140</v>
      </c>
      <c r="E100" s="55" t="s">
        <v>659</v>
      </c>
      <c r="F100" s="56">
        <f>('Montos de Referencia'!$C$5*'Montos de Referencia'!$I$3)+60000000</f>
        <v>79526000</v>
      </c>
      <c r="G100" s="63"/>
      <c r="H100" s="53" t="s">
        <v>79</v>
      </c>
      <c r="I100" s="34">
        <f>VLOOKUP(H100,'Criterios y Ponderaciones'!$D$48:$J$53,7,0)</f>
        <v>1</v>
      </c>
      <c r="J100" s="53" t="s">
        <v>83</v>
      </c>
      <c r="K100" s="34">
        <f>VLOOKUP(J100,'Criterios y Ponderaciones'!$E$48:$J$52,6,0)</f>
        <v>1</v>
      </c>
      <c r="L100" s="53" t="s">
        <v>49</v>
      </c>
      <c r="M100" s="34">
        <f>VLOOKUP(L100,'Criterios y Ponderaciones'!$F$53:$G$54,2,0)</f>
        <v>0</v>
      </c>
      <c r="N100" s="53" t="s">
        <v>84</v>
      </c>
      <c r="O100" s="34">
        <f>VLOOKUP(N100,'Criterios y Ponderaciones'!$G$48:$J$52,4,0)</f>
        <v>0</v>
      </c>
      <c r="P100" s="53" t="s">
        <v>41</v>
      </c>
      <c r="Q100" s="34">
        <f>VLOOKUP(P100,'Criterios y Ponderaciones'!$F$53:$G$54,2,0)</f>
        <v>1</v>
      </c>
      <c r="R100" s="58">
        <f t="shared" si="3"/>
        <v>536.36363636363637</v>
      </c>
      <c r="S100" s="68">
        <v>2019</v>
      </c>
      <c r="T100" s="57">
        <v>43281</v>
      </c>
      <c r="U100" s="57">
        <f>+T100+540</f>
        <v>43821</v>
      </c>
      <c r="V100" s="54" t="s">
        <v>226</v>
      </c>
      <c r="W100" s="54" t="s">
        <v>8</v>
      </c>
      <c r="X100" s="54" t="s">
        <v>12</v>
      </c>
      <c r="Y100" s="54" t="s">
        <v>12</v>
      </c>
      <c r="Z100" s="54" t="s">
        <v>12</v>
      </c>
      <c r="AA100" s="54" t="s">
        <v>27</v>
      </c>
      <c r="AB100" s="54" t="s">
        <v>15</v>
      </c>
      <c r="AC100" s="54" t="s">
        <v>12</v>
      </c>
      <c r="AD100" s="54" t="s">
        <v>12</v>
      </c>
      <c r="AE100" s="55" t="s">
        <v>609</v>
      </c>
      <c r="AF100" s="55" t="s">
        <v>522</v>
      </c>
    </row>
    <row r="101" spans="1:32" ht="72.75" customHeight="1" x14ac:dyDescent="0.25">
      <c r="A101" s="54" t="s">
        <v>592</v>
      </c>
      <c r="B101" s="54"/>
      <c r="C101" s="54" t="s">
        <v>99</v>
      </c>
      <c r="D101" s="55" t="s">
        <v>161</v>
      </c>
      <c r="E101" s="55" t="s">
        <v>162</v>
      </c>
      <c r="F101" s="56">
        <f>('Montos de Referencia'!$C$3*'Montos de Referencia'!$I$3)*1.021</f>
        <v>139552322</v>
      </c>
      <c r="G101" s="63" t="s">
        <v>501</v>
      </c>
      <c r="H101" s="53" t="s">
        <v>79</v>
      </c>
      <c r="I101" s="34">
        <f>VLOOKUP(H101,'Criterios y Ponderaciones'!$D$48:$J$53,7,0)</f>
        <v>1</v>
      </c>
      <c r="J101" s="53" t="s">
        <v>83</v>
      </c>
      <c r="K101" s="34">
        <f>VLOOKUP(J101,'Criterios y Ponderaciones'!$E$48:$J$52,6,0)</f>
        <v>1</v>
      </c>
      <c r="L101" s="53" t="s">
        <v>49</v>
      </c>
      <c r="M101" s="34">
        <f>VLOOKUP(L101,'Criterios y Ponderaciones'!$F$53:$G$54,2,0)</f>
        <v>0</v>
      </c>
      <c r="N101" s="53" t="s">
        <v>84</v>
      </c>
      <c r="O101" s="34">
        <f>VLOOKUP(N101,'Criterios y Ponderaciones'!$G$48:$J$52,4,0)</f>
        <v>0</v>
      </c>
      <c r="P101" s="53" t="s">
        <v>41</v>
      </c>
      <c r="Q101" s="34">
        <f>VLOOKUP(P101,'Criterios y Ponderaciones'!$F$53:$G$54,2,0)</f>
        <v>1</v>
      </c>
      <c r="R101" s="58">
        <f t="shared" si="3"/>
        <v>536.36363636363637</v>
      </c>
      <c r="S101" s="68">
        <v>2019</v>
      </c>
      <c r="T101" s="57">
        <v>43282</v>
      </c>
      <c r="U101" s="57">
        <f>+T101+540</f>
        <v>43822</v>
      </c>
      <c r="V101" s="54" t="s">
        <v>226</v>
      </c>
      <c r="W101" s="54" t="s">
        <v>8</v>
      </c>
      <c r="X101" s="54" t="s">
        <v>12</v>
      </c>
      <c r="Y101" s="54" t="s">
        <v>12</v>
      </c>
      <c r="Z101" s="54" t="s">
        <v>12</v>
      </c>
      <c r="AA101" s="54" t="s">
        <v>27</v>
      </c>
      <c r="AB101" s="54" t="s">
        <v>17</v>
      </c>
      <c r="AC101" s="54" t="s">
        <v>12</v>
      </c>
      <c r="AD101" s="54" t="s">
        <v>12</v>
      </c>
      <c r="AE101" s="55" t="s">
        <v>664</v>
      </c>
      <c r="AF101" s="55" t="s">
        <v>529</v>
      </c>
    </row>
    <row r="102" spans="1:32" ht="84" customHeight="1" x14ac:dyDescent="0.25">
      <c r="A102" s="54" t="s">
        <v>592</v>
      </c>
      <c r="B102" s="54"/>
      <c r="C102" s="54" t="s">
        <v>99</v>
      </c>
      <c r="D102" s="55" t="s">
        <v>163</v>
      </c>
      <c r="E102" s="55" t="s">
        <v>264</v>
      </c>
      <c r="F102" s="56">
        <f>(10.5*'Montos de Referencia'!$C$6+4*'Montos de Referencia'!$C$9+1*'Montos de Referencia'!$C$10)*'Montos de Referencia'!$I$3</f>
        <v>152528100</v>
      </c>
      <c r="G102" s="63" t="s">
        <v>501</v>
      </c>
      <c r="H102" s="53" t="s">
        <v>79</v>
      </c>
      <c r="I102" s="34">
        <f>VLOOKUP(H102,'Criterios y Ponderaciones'!$D$48:$J$53,7,0)</f>
        <v>1</v>
      </c>
      <c r="J102" s="53" t="s">
        <v>83</v>
      </c>
      <c r="K102" s="34">
        <f>VLOOKUP(J102,'Criterios y Ponderaciones'!$E$48:$J$52,6,0)</f>
        <v>1</v>
      </c>
      <c r="L102" s="53" t="s">
        <v>49</v>
      </c>
      <c r="M102" s="34">
        <f>VLOOKUP(L102,'Criterios y Ponderaciones'!$F$53:$G$54,2,0)</f>
        <v>0</v>
      </c>
      <c r="N102" s="53" t="s">
        <v>84</v>
      </c>
      <c r="O102" s="34">
        <f>VLOOKUP(N102,'Criterios y Ponderaciones'!$G$48:$J$52,4,0)</f>
        <v>0</v>
      </c>
      <c r="P102" s="53" t="s">
        <v>41</v>
      </c>
      <c r="Q102" s="34">
        <f>VLOOKUP(P102,'Criterios y Ponderaciones'!$F$53:$G$54,2,0)</f>
        <v>1</v>
      </c>
      <c r="R102" s="58">
        <f t="shared" si="3"/>
        <v>536.36363636363637</v>
      </c>
      <c r="S102" s="68">
        <v>2019</v>
      </c>
      <c r="T102" s="57">
        <v>43282</v>
      </c>
      <c r="U102" s="57">
        <f>+T102+540</f>
        <v>43822</v>
      </c>
      <c r="V102" s="54" t="s">
        <v>226</v>
      </c>
      <c r="W102" s="54" t="s">
        <v>8</v>
      </c>
      <c r="X102" s="54" t="s">
        <v>12</v>
      </c>
      <c r="Y102" s="54" t="s">
        <v>12</v>
      </c>
      <c r="Z102" s="54" t="s">
        <v>12</v>
      </c>
      <c r="AA102" s="54" t="s">
        <v>17</v>
      </c>
      <c r="AB102" s="54" t="s">
        <v>27</v>
      </c>
      <c r="AC102" s="54" t="s">
        <v>12</v>
      </c>
      <c r="AD102" s="54" t="s">
        <v>12</v>
      </c>
      <c r="AE102" s="55" t="s">
        <v>664</v>
      </c>
      <c r="AF102" s="55" t="s">
        <v>529</v>
      </c>
    </row>
    <row r="103" spans="1:32" ht="144.75" customHeight="1" x14ac:dyDescent="0.25">
      <c r="A103" s="54" t="s">
        <v>592</v>
      </c>
      <c r="B103" s="54"/>
      <c r="C103" s="54" t="s">
        <v>99</v>
      </c>
      <c r="D103" s="55" t="s">
        <v>164</v>
      </c>
      <c r="E103" s="55" t="s">
        <v>265</v>
      </c>
      <c r="F103" s="56">
        <f>(5*'Montos de Referencia'!$C$9+41*'Montos de Referencia'!$C$6+1*'Montos de Referencia'!$C$10)*'Montos de Referencia'!$I$3</f>
        <v>299949400</v>
      </c>
      <c r="G103" s="63" t="s">
        <v>502</v>
      </c>
      <c r="H103" s="53" t="s">
        <v>79</v>
      </c>
      <c r="I103" s="34">
        <f>VLOOKUP(H103,'Criterios y Ponderaciones'!$D$48:$J$53,7,0)</f>
        <v>1</v>
      </c>
      <c r="J103" s="53" t="s">
        <v>83</v>
      </c>
      <c r="K103" s="34">
        <f>VLOOKUP(J103,'Criterios y Ponderaciones'!$E$48:$J$52,6,0)</f>
        <v>1</v>
      </c>
      <c r="L103" s="53" t="s">
        <v>49</v>
      </c>
      <c r="M103" s="34">
        <f>VLOOKUP(L103,'Criterios y Ponderaciones'!$F$53:$G$54,2,0)</f>
        <v>0</v>
      </c>
      <c r="N103" s="53" t="s">
        <v>84</v>
      </c>
      <c r="O103" s="34">
        <f>VLOOKUP(N103,'Criterios y Ponderaciones'!$G$48:$J$52,4,0)</f>
        <v>0</v>
      </c>
      <c r="P103" s="53" t="s">
        <v>41</v>
      </c>
      <c r="Q103" s="34">
        <f>VLOOKUP(P103,'Criterios y Ponderaciones'!$F$53:$G$54,2,0)</f>
        <v>1</v>
      </c>
      <c r="R103" s="58">
        <f t="shared" si="3"/>
        <v>536.36363636363637</v>
      </c>
      <c r="S103" s="68">
        <v>2019</v>
      </c>
      <c r="T103" s="57">
        <v>43101</v>
      </c>
      <c r="U103" s="57">
        <f>+T103+720</f>
        <v>43821</v>
      </c>
      <c r="V103" s="54" t="s">
        <v>226</v>
      </c>
      <c r="W103" s="54" t="s">
        <v>8</v>
      </c>
      <c r="X103" s="54" t="s">
        <v>12</v>
      </c>
      <c r="Y103" s="54" t="s">
        <v>12</v>
      </c>
      <c r="Z103" s="54" t="s">
        <v>12</v>
      </c>
      <c r="AA103" s="54" t="s">
        <v>17</v>
      </c>
      <c r="AB103" s="54" t="s">
        <v>27</v>
      </c>
      <c r="AC103" s="54" t="s">
        <v>12</v>
      </c>
      <c r="AD103" s="54" t="s">
        <v>12</v>
      </c>
      <c r="AE103" s="55" t="s">
        <v>664</v>
      </c>
      <c r="AF103" s="55" t="s">
        <v>530</v>
      </c>
    </row>
    <row r="104" spans="1:32" ht="57" customHeight="1" x14ac:dyDescent="0.25">
      <c r="A104" s="54" t="s">
        <v>591</v>
      </c>
      <c r="B104" s="54"/>
      <c r="C104" s="54" t="s">
        <v>99</v>
      </c>
      <c r="D104" s="55" t="s">
        <v>151</v>
      </c>
      <c r="E104" s="55" t="s">
        <v>152</v>
      </c>
      <c r="F104" s="56">
        <v>57500000</v>
      </c>
      <c r="G104" s="63" t="s">
        <v>498</v>
      </c>
      <c r="H104" s="53" t="s">
        <v>79</v>
      </c>
      <c r="I104" s="34">
        <f>VLOOKUP(H104,'Criterios y Ponderaciones'!$D$48:$J$53,7,0)</f>
        <v>1</v>
      </c>
      <c r="J104" s="53" t="s">
        <v>83</v>
      </c>
      <c r="K104" s="34">
        <f>VLOOKUP(J104,'Criterios y Ponderaciones'!$E$48:$J$52,6,0)</f>
        <v>1</v>
      </c>
      <c r="L104" s="53" t="s">
        <v>49</v>
      </c>
      <c r="M104" s="34">
        <f>VLOOKUP(L104,'Criterios y Ponderaciones'!$F$53:$G$54,2,0)</f>
        <v>0</v>
      </c>
      <c r="N104" s="53" t="s">
        <v>84</v>
      </c>
      <c r="O104" s="34">
        <f>VLOOKUP(N104,'Criterios y Ponderaciones'!$G$48:$J$52,4,0)</f>
        <v>0</v>
      </c>
      <c r="P104" s="53" t="s">
        <v>41</v>
      </c>
      <c r="Q104" s="34">
        <f>VLOOKUP(P104,'Criterios y Ponderaciones'!$F$53:$G$54,2,0)</f>
        <v>1</v>
      </c>
      <c r="R104" s="58">
        <f t="shared" si="3"/>
        <v>536.36363636363637</v>
      </c>
      <c r="S104" s="68">
        <v>2019</v>
      </c>
      <c r="T104" s="57">
        <v>43282</v>
      </c>
      <c r="U104" s="57">
        <f>+T104+540</f>
        <v>43822</v>
      </c>
      <c r="V104" s="54" t="s">
        <v>226</v>
      </c>
      <c r="W104" s="54" t="s">
        <v>8</v>
      </c>
      <c r="X104" s="54" t="s">
        <v>12</v>
      </c>
      <c r="Y104" s="54" t="s">
        <v>12</v>
      </c>
      <c r="Z104" s="54" t="s">
        <v>12</v>
      </c>
      <c r="AA104" s="54" t="s">
        <v>27</v>
      </c>
      <c r="AB104" s="54" t="s">
        <v>15</v>
      </c>
      <c r="AC104" s="54" t="s">
        <v>12</v>
      </c>
      <c r="AD104" s="54" t="s">
        <v>12</v>
      </c>
      <c r="AE104" s="55" t="s">
        <v>611</v>
      </c>
      <c r="AF104" s="55" t="s">
        <v>527</v>
      </c>
    </row>
    <row r="105" spans="1:32" ht="138.75" customHeight="1" x14ac:dyDescent="0.25">
      <c r="A105" s="54" t="s">
        <v>592</v>
      </c>
      <c r="B105" s="54"/>
      <c r="C105" s="54" t="s">
        <v>99</v>
      </c>
      <c r="D105" s="55" t="s">
        <v>165</v>
      </c>
      <c r="E105" s="55" t="s">
        <v>166</v>
      </c>
      <c r="F105" s="56">
        <f>('Montos de Referencia'!$C$3*'Montos de Referencia'!$I$3)*1.019</f>
        <v>139278958</v>
      </c>
      <c r="G105" s="63" t="s">
        <v>245</v>
      </c>
      <c r="H105" s="53" t="s">
        <v>79</v>
      </c>
      <c r="I105" s="34">
        <f>VLOOKUP(H105,'Criterios y Ponderaciones'!$D$48:$J$53,7,0)</f>
        <v>1</v>
      </c>
      <c r="J105" s="53" t="s">
        <v>83</v>
      </c>
      <c r="K105" s="34">
        <f>VLOOKUP(J105,'Criterios y Ponderaciones'!$E$48:$J$52,6,0)</f>
        <v>1</v>
      </c>
      <c r="L105" s="53" t="s">
        <v>49</v>
      </c>
      <c r="M105" s="34">
        <f>VLOOKUP(L105,'Criterios y Ponderaciones'!$F$53:$G$54,2,0)</f>
        <v>0</v>
      </c>
      <c r="N105" s="53" t="s">
        <v>84</v>
      </c>
      <c r="O105" s="34">
        <f>VLOOKUP(N105,'Criterios y Ponderaciones'!$G$48:$J$52,4,0)</f>
        <v>0</v>
      </c>
      <c r="P105" s="53" t="s">
        <v>41</v>
      </c>
      <c r="Q105" s="34">
        <f>VLOOKUP(P105,'Criterios y Ponderaciones'!$F$53:$G$54,2,0)</f>
        <v>1</v>
      </c>
      <c r="R105" s="58">
        <f t="shared" si="3"/>
        <v>536.36363636363637</v>
      </c>
      <c r="S105" s="68">
        <v>2019</v>
      </c>
      <c r="T105" s="57">
        <v>43282</v>
      </c>
      <c r="U105" s="57">
        <f>+T105+540</f>
        <v>43822</v>
      </c>
      <c r="V105" s="54" t="s">
        <v>226</v>
      </c>
      <c r="W105" s="54" t="s">
        <v>8</v>
      </c>
      <c r="X105" s="54" t="s">
        <v>12</v>
      </c>
      <c r="Y105" s="54" t="s">
        <v>12</v>
      </c>
      <c r="Z105" s="54" t="s">
        <v>12</v>
      </c>
      <c r="AA105" s="54" t="s">
        <v>27</v>
      </c>
      <c r="AB105" s="54" t="s">
        <v>17</v>
      </c>
      <c r="AC105" s="54" t="s">
        <v>12</v>
      </c>
      <c r="AD105" s="54" t="s">
        <v>12</v>
      </c>
      <c r="AE105" s="55" t="s">
        <v>621</v>
      </c>
      <c r="AF105" s="55" t="s">
        <v>533</v>
      </c>
    </row>
    <row r="106" spans="1:32" ht="133.5" customHeight="1" x14ac:dyDescent="0.25">
      <c r="A106" s="54" t="s">
        <v>592</v>
      </c>
      <c r="B106" s="54"/>
      <c r="C106" s="54" t="s">
        <v>99</v>
      </c>
      <c r="D106" s="55" t="s">
        <v>167</v>
      </c>
      <c r="E106" s="55" t="s">
        <v>279</v>
      </c>
      <c r="F106" s="56">
        <f>(2*'Montos de Referencia'!$C$9+11*'Montos de Referencia'!$C$6+2*'Montos de Referencia'!$C$10)*'Montos de Referencia'!$I$3</f>
        <v>122112600</v>
      </c>
      <c r="G106" s="63" t="s">
        <v>247</v>
      </c>
      <c r="H106" s="53" t="s">
        <v>79</v>
      </c>
      <c r="I106" s="34">
        <f>VLOOKUP(H106,'Criterios y Ponderaciones'!$D$48:$J$53,7,0)</f>
        <v>1</v>
      </c>
      <c r="J106" s="53" t="s">
        <v>83</v>
      </c>
      <c r="K106" s="34">
        <f>VLOOKUP(J106,'Criterios y Ponderaciones'!$E$48:$J$52,6,0)</f>
        <v>1</v>
      </c>
      <c r="L106" s="53" t="s">
        <v>49</v>
      </c>
      <c r="M106" s="34">
        <f>VLOOKUP(L106,'Criterios y Ponderaciones'!$F$53:$G$54,2,0)</f>
        <v>0</v>
      </c>
      <c r="N106" s="53" t="s">
        <v>84</v>
      </c>
      <c r="O106" s="34">
        <f>VLOOKUP(N106,'Criterios y Ponderaciones'!$G$48:$J$52,4,0)</f>
        <v>0</v>
      </c>
      <c r="P106" s="53" t="s">
        <v>41</v>
      </c>
      <c r="Q106" s="34">
        <f>VLOOKUP(P106,'Criterios y Ponderaciones'!$F$53:$G$54,2,0)</f>
        <v>1</v>
      </c>
      <c r="R106" s="58">
        <f t="shared" si="3"/>
        <v>536.36363636363637</v>
      </c>
      <c r="S106" s="68">
        <v>2019</v>
      </c>
      <c r="T106" s="57">
        <v>43282</v>
      </c>
      <c r="U106" s="57">
        <f>+T106+540</f>
        <v>43822</v>
      </c>
      <c r="V106" s="54" t="s">
        <v>226</v>
      </c>
      <c r="W106" s="54" t="s">
        <v>8</v>
      </c>
      <c r="X106" s="54" t="s">
        <v>12</v>
      </c>
      <c r="Y106" s="54" t="s">
        <v>12</v>
      </c>
      <c r="Z106" s="54" t="s">
        <v>12</v>
      </c>
      <c r="AA106" s="54" t="s">
        <v>17</v>
      </c>
      <c r="AB106" s="54" t="s">
        <v>27</v>
      </c>
      <c r="AC106" s="54" t="s">
        <v>12</v>
      </c>
      <c r="AD106" s="54" t="s">
        <v>12</v>
      </c>
      <c r="AE106" s="55" t="s">
        <v>622</v>
      </c>
      <c r="AF106" s="55" t="s">
        <v>533</v>
      </c>
    </row>
    <row r="107" spans="1:32" ht="84.75" customHeight="1" x14ac:dyDescent="0.25">
      <c r="A107" s="54" t="s">
        <v>592</v>
      </c>
      <c r="B107" s="54"/>
      <c r="C107" s="54" t="s">
        <v>98</v>
      </c>
      <c r="D107" s="55" t="s">
        <v>329</v>
      </c>
      <c r="E107" s="55" t="s">
        <v>330</v>
      </c>
      <c r="F107" s="56">
        <f>(35*'Montos de Referencia'!$C$6+1*'Montos de Referencia'!$C$10)*'Montos de Referencia'!$I$3</f>
        <v>156959000</v>
      </c>
      <c r="G107" s="62" t="s">
        <v>688</v>
      </c>
      <c r="H107" s="53" t="s">
        <v>79</v>
      </c>
      <c r="I107" s="34">
        <f>VLOOKUP(H107,'Criterios y Ponderaciones'!$D$48:$J$53,7,0)</f>
        <v>1</v>
      </c>
      <c r="J107" s="53" t="s">
        <v>82</v>
      </c>
      <c r="K107" s="34">
        <f>VLOOKUP(J107,'Criterios y Ponderaciones'!$E$48:$J$52,6,0)</f>
        <v>0.75</v>
      </c>
      <c r="L107" s="53" t="s">
        <v>49</v>
      </c>
      <c r="M107" s="34">
        <f>VLOOKUP(L107,'Criterios y Ponderaciones'!$F$53:$G$54,2,0)</f>
        <v>0</v>
      </c>
      <c r="N107" s="53" t="s">
        <v>85</v>
      </c>
      <c r="O107" s="34">
        <f>VLOOKUP(N107,'Criterios y Ponderaciones'!$G$48:$J$52,4,0)</f>
        <v>0.25</v>
      </c>
      <c r="P107" s="53" t="s">
        <v>41</v>
      </c>
      <c r="Q107" s="34">
        <f>VLOOKUP(P107,'Criterios y Ponderaciones'!$F$53:$G$54,2,0)</f>
        <v>1</v>
      </c>
      <c r="R107" s="58">
        <f t="shared" si="3"/>
        <v>536.36363636363637</v>
      </c>
      <c r="S107" s="68">
        <v>2019</v>
      </c>
      <c r="T107" s="57">
        <f>U107-720</f>
        <v>42897</v>
      </c>
      <c r="U107" s="57">
        <v>43617</v>
      </c>
      <c r="V107" s="54" t="s">
        <v>363</v>
      </c>
      <c r="W107" s="54" t="s">
        <v>364</v>
      </c>
      <c r="X107" s="54" t="s">
        <v>12</v>
      </c>
      <c r="Y107" s="54" t="s">
        <v>10</v>
      </c>
      <c r="Z107" s="54" t="s">
        <v>9</v>
      </c>
      <c r="AA107" s="54" t="s">
        <v>13</v>
      </c>
      <c r="AB107" s="54" t="s">
        <v>15</v>
      </c>
      <c r="AC107" s="54" t="s">
        <v>19</v>
      </c>
      <c r="AD107" s="54" t="s">
        <v>12</v>
      </c>
      <c r="AE107" s="55" t="s">
        <v>367</v>
      </c>
      <c r="AF107" s="55" t="s">
        <v>368</v>
      </c>
    </row>
    <row r="108" spans="1:32" ht="45" x14ac:dyDescent="0.25">
      <c r="A108" s="54" t="s">
        <v>592</v>
      </c>
      <c r="B108" s="54"/>
      <c r="C108" s="54" t="s">
        <v>98</v>
      </c>
      <c r="D108" s="55" t="s">
        <v>327</v>
      </c>
      <c r="E108" s="55" t="s">
        <v>328</v>
      </c>
      <c r="F108" s="56">
        <f>('Montos de Referencia'!$C$4*'Montos de Referencia'!$I$3)</f>
        <v>165971000</v>
      </c>
      <c r="G108" s="62" t="s">
        <v>329</v>
      </c>
      <c r="H108" s="53" t="s">
        <v>76</v>
      </c>
      <c r="I108" s="34">
        <f>VLOOKUP(H108,'Criterios y Ponderaciones'!$D$48:$J$53,7,0)</f>
        <v>0.25</v>
      </c>
      <c r="J108" s="53" t="s">
        <v>82</v>
      </c>
      <c r="K108" s="34">
        <f>VLOOKUP(J108,'Criterios y Ponderaciones'!$E$48:$J$52,6,0)</f>
        <v>0.75</v>
      </c>
      <c r="L108" s="53" t="s">
        <v>49</v>
      </c>
      <c r="M108" s="34">
        <f>VLOOKUP(L108,'Criterios y Ponderaciones'!$F$53:$G$54,2,0)</f>
        <v>0</v>
      </c>
      <c r="N108" s="53" t="s">
        <v>85</v>
      </c>
      <c r="O108" s="34">
        <f>VLOOKUP(N108,'Criterios y Ponderaciones'!$G$48:$J$52,4,0)</f>
        <v>0.25</v>
      </c>
      <c r="P108" s="53" t="s">
        <v>41</v>
      </c>
      <c r="Q108" s="34">
        <f>VLOOKUP(P108,'Criterios y Ponderaciones'!$F$53:$G$54,2,0)</f>
        <v>1</v>
      </c>
      <c r="R108" s="58">
        <f t="shared" si="3"/>
        <v>379.5454545454545</v>
      </c>
      <c r="S108" s="68">
        <v>2019</v>
      </c>
      <c r="T108" s="57">
        <f>U108-540</f>
        <v>43077</v>
      </c>
      <c r="U108" s="57">
        <v>43617</v>
      </c>
      <c r="V108" s="54" t="s">
        <v>363</v>
      </c>
      <c r="W108" s="54" t="s">
        <v>364</v>
      </c>
      <c r="X108" s="54" t="s">
        <v>12</v>
      </c>
      <c r="Y108" s="54" t="s">
        <v>10</v>
      </c>
      <c r="Z108" s="54" t="s">
        <v>9</v>
      </c>
      <c r="AA108" s="54" t="s">
        <v>13</v>
      </c>
      <c r="AB108" s="54" t="s">
        <v>15</v>
      </c>
      <c r="AC108" s="54" t="s">
        <v>19</v>
      </c>
      <c r="AD108" s="54" t="s">
        <v>12</v>
      </c>
      <c r="AE108" s="55" t="s">
        <v>367</v>
      </c>
      <c r="AF108" s="55" t="s">
        <v>368</v>
      </c>
    </row>
    <row r="109" spans="1:32" ht="45" x14ac:dyDescent="0.25">
      <c r="A109" s="54" t="s">
        <v>592</v>
      </c>
      <c r="B109" s="54"/>
      <c r="C109" s="54" t="s">
        <v>98</v>
      </c>
      <c r="D109" s="55" t="s">
        <v>331</v>
      </c>
      <c r="E109" s="55" t="s">
        <v>332</v>
      </c>
      <c r="F109" s="56">
        <f>(80*'Montos de Referencia'!$C$6+1*'Montos de Referencia'!$C$10)*'Montos de Referencia'!$I$3</f>
        <v>339452000</v>
      </c>
      <c r="G109" s="62" t="s">
        <v>329</v>
      </c>
      <c r="H109" s="53" t="s">
        <v>79</v>
      </c>
      <c r="I109" s="34">
        <f>VLOOKUP(H109,'Criterios y Ponderaciones'!$D$48:$J$53,7,0)</f>
        <v>1</v>
      </c>
      <c r="J109" s="53" t="s">
        <v>82</v>
      </c>
      <c r="K109" s="34">
        <f>VLOOKUP(J109,'Criterios y Ponderaciones'!$E$48:$J$52,6,0)</f>
        <v>0.75</v>
      </c>
      <c r="L109" s="53" t="s">
        <v>49</v>
      </c>
      <c r="M109" s="34">
        <f>VLOOKUP(L109,'Criterios y Ponderaciones'!$F$53:$G$54,2,0)</f>
        <v>0</v>
      </c>
      <c r="N109" s="53" t="s">
        <v>84</v>
      </c>
      <c r="O109" s="34">
        <f>VLOOKUP(N109,'Criterios y Ponderaciones'!$G$48:$J$52,4,0)</f>
        <v>0</v>
      </c>
      <c r="P109" s="53" t="s">
        <v>41</v>
      </c>
      <c r="Q109" s="34">
        <f>VLOOKUP(P109,'Criterios y Ponderaciones'!$F$53:$G$54,2,0)</f>
        <v>1</v>
      </c>
      <c r="R109" s="58">
        <f t="shared" si="3"/>
        <v>489.77272727272725</v>
      </c>
      <c r="S109" s="68">
        <v>2019</v>
      </c>
      <c r="T109" s="57">
        <f>U109-720</f>
        <v>42897</v>
      </c>
      <c r="U109" s="57">
        <v>43617</v>
      </c>
      <c r="V109" s="54" t="s">
        <v>363</v>
      </c>
      <c r="W109" s="54" t="s">
        <v>364</v>
      </c>
      <c r="X109" s="54" t="s">
        <v>12</v>
      </c>
      <c r="Y109" s="54" t="s">
        <v>10</v>
      </c>
      <c r="Z109" s="54" t="s">
        <v>9</v>
      </c>
      <c r="AA109" s="54" t="s">
        <v>13</v>
      </c>
      <c r="AB109" s="54" t="s">
        <v>15</v>
      </c>
      <c r="AC109" s="54" t="s">
        <v>19</v>
      </c>
      <c r="AD109" s="54" t="s">
        <v>12</v>
      </c>
      <c r="AE109" s="55" t="s">
        <v>369</v>
      </c>
      <c r="AF109" s="55" t="s">
        <v>370</v>
      </c>
    </row>
    <row r="110" spans="1:32" ht="91.5" customHeight="1" x14ac:dyDescent="0.25">
      <c r="A110" s="54" t="s">
        <v>604</v>
      </c>
      <c r="B110" s="54"/>
      <c r="C110" s="54" t="s">
        <v>100</v>
      </c>
      <c r="D110" s="55" t="s">
        <v>211</v>
      </c>
      <c r="E110" s="55" t="s">
        <v>212</v>
      </c>
      <c r="F110" s="56">
        <f>('Montos de Referencia'!$C$5*'Montos de Referencia'!$I$3)+35000000*1.35</f>
        <v>66776000</v>
      </c>
      <c r="G110" s="63"/>
      <c r="H110" s="53" t="s">
        <v>78</v>
      </c>
      <c r="I110" s="34">
        <f>VLOOKUP(H110,'Criterios y Ponderaciones'!$D$48:$J$53,7,0)</f>
        <v>0.75</v>
      </c>
      <c r="J110" s="53" t="s">
        <v>83</v>
      </c>
      <c r="K110" s="34">
        <f>VLOOKUP(J110,'Criterios y Ponderaciones'!$E$48:$J$52,6,0)</f>
        <v>1</v>
      </c>
      <c r="L110" s="53" t="s">
        <v>49</v>
      </c>
      <c r="M110" s="34">
        <f>VLOOKUP(L110,'Criterios y Ponderaciones'!$F$53:$G$54,2,0)</f>
        <v>0</v>
      </c>
      <c r="N110" s="53" t="s">
        <v>85</v>
      </c>
      <c r="O110" s="34">
        <f>VLOOKUP(N110,'Criterios y Ponderaciones'!$G$48:$J$52,4,0)</f>
        <v>0.25</v>
      </c>
      <c r="P110" s="53" t="s">
        <v>41</v>
      </c>
      <c r="Q110" s="34">
        <f>VLOOKUP(P110,'Criterios y Ponderaciones'!$F$53:$G$54,2,0)</f>
        <v>1</v>
      </c>
      <c r="R110" s="58">
        <f t="shared" si="3"/>
        <v>530.68181818181813</v>
      </c>
      <c r="S110" s="68">
        <v>2019</v>
      </c>
      <c r="T110" s="57">
        <v>43281</v>
      </c>
      <c r="U110" s="57">
        <f>+T110+540</f>
        <v>43821</v>
      </c>
      <c r="V110" s="54" t="s">
        <v>226</v>
      </c>
      <c r="W110" s="54" t="s">
        <v>8</v>
      </c>
      <c r="X110" s="54" t="s">
        <v>12</v>
      </c>
      <c r="Y110" s="54" t="s">
        <v>12</v>
      </c>
      <c r="Z110" s="54" t="s">
        <v>12</v>
      </c>
      <c r="AA110" s="54" t="s">
        <v>27</v>
      </c>
      <c r="AB110" s="54" t="s">
        <v>16</v>
      </c>
      <c r="AC110" s="54" t="s">
        <v>12</v>
      </c>
      <c r="AD110" s="54" t="s">
        <v>12</v>
      </c>
      <c r="AE110" s="55" t="s">
        <v>636</v>
      </c>
      <c r="AF110" s="55" t="s">
        <v>669</v>
      </c>
    </row>
    <row r="111" spans="1:32" ht="54" customHeight="1" x14ac:dyDescent="0.25">
      <c r="A111" s="54" t="s">
        <v>592</v>
      </c>
      <c r="B111" s="54"/>
      <c r="C111" s="54" t="s">
        <v>99</v>
      </c>
      <c r="D111" s="55" t="s">
        <v>144</v>
      </c>
      <c r="E111" s="55" t="s">
        <v>661</v>
      </c>
      <c r="F111" s="56">
        <f>(5*'Montos de Referencia'!$C$9+51*'Montos de Referencia'!$C$6+1*'Montos de Referencia'!$C$10)*'Montos de Referencia'!$I$3</f>
        <v>340503400</v>
      </c>
      <c r="G111" s="63" t="s">
        <v>239</v>
      </c>
      <c r="H111" s="53" t="s">
        <v>79</v>
      </c>
      <c r="I111" s="34">
        <f>VLOOKUP(H111,'Criterios y Ponderaciones'!$D$48:$J$53,7,0)</f>
        <v>1</v>
      </c>
      <c r="J111" s="53" t="s">
        <v>82</v>
      </c>
      <c r="K111" s="34">
        <f>VLOOKUP(J111,'Criterios y Ponderaciones'!$E$48:$J$52,6,0)</f>
        <v>0.75</v>
      </c>
      <c r="L111" s="53" t="s">
        <v>49</v>
      </c>
      <c r="M111" s="34">
        <f>VLOOKUP(L111,'Criterios y Ponderaciones'!$F$53:$G$54,2,0)</f>
        <v>0</v>
      </c>
      <c r="N111" s="53" t="s">
        <v>84</v>
      </c>
      <c r="O111" s="34">
        <f>VLOOKUP(N111,'Criterios y Ponderaciones'!$G$48:$J$52,4,0)</f>
        <v>0</v>
      </c>
      <c r="P111" s="53" t="s">
        <v>41</v>
      </c>
      <c r="Q111" s="34">
        <f>VLOOKUP(P111,'Criterios y Ponderaciones'!$F$53:$G$54,2,0)</f>
        <v>1</v>
      </c>
      <c r="R111" s="58">
        <f t="shared" si="3"/>
        <v>489.77272727272725</v>
      </c>
      <c r="S111" s="68">
        <v>2019</v>
      </c>
      <c r="T111" s="57">
        <v>43101</v>
      </c>
      <c r="U111" s="57">
        <f>+T111+720</f>
        <v>43821</v>
      </c>
      <c r="V111" s="54" t="s">
        <v>226</v>
      </c>
      <c r="W111" s="54" t="s">
        <v>8</v>
      </c>
      <c r="X111" s="54" t="s">
        <v>12</v>
      </c>
      <c r="Y111" s="54" t="s">
        <v>12</v>
      </c>
      <c r="Z111" s="54" t="s">
        <v>12</v>
      </c>
      <c r="AA111" s="54" t="s">
        <v>17</v>
      </c>
      <c r="AB111" s="54" t="s">
        <v>27</v>
      </c>
      <c r="AC111" s="54" t="s">
        <v>12</v>
      </c>
      <c r="AD111" s="54" t="s">
        <v>12</v>
      </c>
      <c r="AE111" s="55" t="s">
        <v>613</v>
      </c>
      <c r="AF111" s="55" t="s">
        <v>525</v>
      </c>
    </row>
    <row r="112" spans="1:32" ht="104.25" customHeight="1" x14ac:dyDescent="0.25">
      <c r="A112" s="54" t="s">
        <v>592</v>
      </c>
      <c r="B112" s="54"/>
      <c r="C112" s="54" t="s">
        <v>99</v>
      </c>
      <c r="D112" s="55" t="s">
        <v>143</v>
      </c>
      <c r="E112" s="55" t="s">
        <v>240</v>
      </c>
      <c r="F112" s="69">
        <f>('Montos de Referencia'!$C$3*'Montos de Referencia'!$I$3)*1.2</f>
        <v>164018400</v>
      </c>
      <c r="G112" s="63" t="s">
        <v>239</v>
      </c>
      <c r="H112" s="53" t="s">
        <v>79</v>
      </c>
      <c r="I112" s="34">
        <f>VLOOKUP(H112,'Criterios y Ponderaciones'!$D$48:$J$53,7,0)</f>
        <v>1</v>
      </c>
      <c r="J112" s="53" t="s">
        <v>81</v>
      </c>
      <c r="K112" s="34">
        <f>VLOOKUP(J112,'Criterios y Ponderaciones'!$E$48:$J$52,6,0)</f>
        <v>0.5</v>
      </c>
      <c r="L112" s="53" t="s">
        <v>49</v>
      </c>
      <c r="M112" s="34">
        <f>VLOOKUP(L112,'Criterios y Ponderaciones'!$F$53:$G$54,2,0)</f>
        <v>0</v>
      </c>
      <c r="N112" s="53" t="s">
        <v>84</v>
      </c>
      <c r="O112" s="34">
        <f>VLOOKUP(N112,'Criterios y Ponderaciones'!$G$48:$J$52,4,0)</f>
        <v>0</v>
      </c>
      <c r="P112" s="53" t="s">
        <v>41</v>
      </c>
      <c r="Q112" s="34">
        <f>VLOOKUP(P112,'Criterios y Ponderaciones'!$F$53:$G$54,2,0)</f>
        <v>1</v>
      </c>
      <c r="R112" s="58">
        <f t="shared" si="3"/>
        <v>443.18181818181813</v>
      </c>
      <c r="S112" s="68">
        <v>2019</v>
      </c>
      <c r="T112" s="57">
        <v>43281</v>
      </c>
      <c r="U112" s="57">
        <f>+T112+540</f>
        <v>43821</v>
      </c>
      <c r="V112" s="54" t="s">
        <v>226</v>
      </c>
      <c r="W112" s="54" t="s">
        <v>8</v>
      </c>
      <c r="X112" s="54" t="s">
        <v>12</v>
      </c>
      <c r="Y112" s="54" t="s">
        <v>12</v>
      </c>
      <c r="Z112" s="54" t="s">
        <v>12</v>
      </c>
      <c r="AA112" s="54" t="s">
        <v>27</v>
      </c>
      <c r="AB112" s="54" t="s">
        <v>17</v>
      </c>
      <c r="AC112" s="54" t="s">
        <v>12</v>
      </c>
      <c r="AD112" s="54" t="s">
        <v>12</v>
      </c>
      <c r="AE112" s="55" t="s">
        <v>614</v>
      </c>
      <c r="AF112" s="55" t="s">
        <v>525</v>
      </c>
    </row>
    <row r="113" spans="1:34" ht="75" x14ac:dyDescent="0.25">
      <c r="A113" s="54" t="s">
        <v>592</v>
      </c>
      <c r="B113" s="54"/>
      <c r="C113" s="54" t="s">
        <v>100</v>
      </c>
      <c r="D113" s="55" t="s">
        <v>196</v>
      </c>
      <c r="E113" s="55" t="s">
        <v>197</v>
      </c>
      <c r="F113" s="56">
        <f>('Montos de Referencia'!$C$3*'Montos de Referencia'!$I$3)*1.04</f>
        <v>142149280</v>
      </c>
      <c r="G113" s="63" t="s">
        <v>250</v>
      </c>
      <c r="H113" s="53" t="s">
        <v>78</v>
      </c>
      <c r="I113" s="34">
        <f>VLOOKUP(H113,'Criterios y Ponderaciones'!$D$48:$J$53,7,0)</f>
        <v>0.75</v>
      </c>
      <c r="J113" s="53" t="s">
        <v>83</v>
      </c>
      <c r="K113" s="34">
        <f>VLOOKUP(J113,'Criterios y Ponderaciones'!$E$48:$J$52,6,0)</f>
        <v>1</v>
      </c>
      <c r="L113" s="53" t="s">
        <v>49</v>
      </c>
      <c r="M113" s="34">
        <f>VLOOKUP(L113,'Criterios y Ponderaciones'!$F$53:$G$54,2,0)</f>
        <v>0</v>
      </c>
      <c r="N113" s="53" t="s">
        <v>84</v>
      </c>
      <c r="O113" s="34">
        <f>VLOOKUP(N113,'Criterios y Ponderaciones'!$G$48:$J$52,4,0)</f>
        <v>0</v>
      </c>
      <c r="P113" s="53" t="s">
        <v>41</v>
      </c>
      <c r="Q113" s="34">
        <f>VLOOKUP(P113,'Criterios y Ponderaciones'!$F$53:$G$54,2,0)</f>
        <v>1</v>
      </c>
      <c r="R113" s="58">
        <f t="shared" si="3"/>
        <v>484.09090909090901</v>
      </c>
      <c r="S113" s="68">
        <v>2019</v>
      </c>
      <c r="T113" s="57">
        <v>43281</v>
      </c>
      <c r="U113" s="57">
        <f>+T113+540</f>
        <v>43821</v>
      </c>
      <c r="V113" s="54" t="s">
        <v>226</v>
      </c>
      <c r="W113" s="54" t="s">
        <v>8</v>
      </c>
      <c r="X113" s="54" t="s">
        <v>12</v>
      </c>
      <c r="Y113" s="54" t="s">
        <v>12</v>
      </c>
      <c r="Z113" s="54" t="s">
        <v>12</v>
      </c>
      <c r="AA113" s="54" t="s">
        <v>27</v>
      </c>
      <c r="AB113" s="54" t="s">
        <v>17</v>
      </c>
      <c r="AC113" s="54" t="s">
        <v>12</v>
      </c>
      <c r="AD113" s="54" t="s">
        <v>12</v>
      </c>
      <c r="AE113" s="55" t="s">
        <v>637</v>
      </c>
      <c r="AF113" s="55" t="s">
        <v>548</v>
      </c>
    </row>
    <row r="114" spans="1:34" ht="102" customHeight="1" x14ac:dyDescent="0.25">
      <c r="A114" s="54" t="s">
        <v>592</v>
      </c>
      <c r="B114" s="54"/>
      <c r="C114" s="54" t="s">
        <v>100</v>
      </c>
      <c r="D114" s="55" t="s">
        <v>198</v>
      </c>
      <c r="E114" s="55" t="s">
        <v>281</v>
      </c>
      <c r="F114" s="56">
        <f>+(40.2*'Montos de Referencia'!$C$7)*'Montos de Referencia'!$I$3</f>
        <v>211331400.00000003</v>
      </c>
      <c r="G114" s="63" t="s">
        <v>250</v>
      </c>
      <c r="H114" s="53" t="s">
        <v>78</v>
      </c>
      <c r="I114" s="34">
        <f>VLOOKUP(H114,'Criterios y Ponderaciones'!$D$48:$J$53,7,0)</f>
        <v>0.75</v>
      </c>
      <c r="J114" s="53" t="s">
        <v>83</v>
      </c>
      <c r="K114" s="34">
        <f>VLOOKUP(J114,'Criterios y Ponderaciones'!$E$48:$J$52,6,0)</f>
        <v>1</v>
      </c>
      <c r="L114" s="53" t="s">
        <v>49</v>
      </c>
      <c r="M114" s="34">
        <f>VLOOKUP(L114,'Criterios y Ponderaciones'!$F$53:$G$54,2,0)</f>
        <v>0</v>
      </c>
      <c r="N114" s="53" t="s">
        <v>84</v>
      </c>
      <c r="O114" s="34">
        <f>VLOOKUP(N114,'Criterios y Ponderaciones'!$G$48:$J$52,4,0)</f>
        <v>0</v>
      </c>
      <c r="P114" s="53" t="s">
        <v>41</v>
      </c>
      <c r="Q114" s="34">
        <f>VLOOKUP(P114,'Criterios y Ponderaciones'!$F$53:$G$54,2,0)</f>
        <v>1</v>
      </c>
      <c r="R114" s="58">
        <f t="shared" si="3"/>
        <v>484.09090909090901</v>
      </c>
      <c r="S114" s="68">
        <v>2019</v>
      </c>
      <c r="T114" s="57">
        <v>43101</v>
      </c>
      <c r="U114" s="57">
        <f>+T114+720</f>
        <v>43821</v>
      </c>
      <c r="V114" s="54" t="s">
        <v>226</v>
      </c>
      <c r="W114" s="54" t="s">
        <v>8</v>
      </c>
      <c r="X114" s="54" t="s">
        <v>12</v>
      </c>
      <c r="Y114" s="54" t="s">
        <v>12</v>
      </c>
      <c r="Z114" s="54" t="s">
        <v>12</v>
      </c>
      <c r="AA114" s="54" t="s">
        <v>17</v>
      </c>
      <c r="AB114" s="54" t="s">
        <v>27</v>
      </c>
      <c r="AC114" s="54" t="s">
        <v>12</v>
      </c>
      <c r="AD114" s="54" t="s">
        <v>12</v>
      </c>
      <c r="AE114" s="55" t="s">
        <v>637</v>
      </c>
      <c r="AF114" s="55" t="s">
        <v>548</v>
      </c>
    </row>
    <row r="115" spans="1:34" ht="96.75" customHeight="1" x14ac:dyDescent="0.25">
      <c r="A115" s="54" t="s">
        <v>592</v>
      </c>
      <c r="B115" s="54"/>
      <c r="C115" s="54" t="s">
        <v>99</v>
      </c>
      <c r="D115" s="55" t="s">
        <v>174</v>
      </c>
      <c r="E115" s="55" t="s">
        <v>175</v>
      </c>
      <c r="F115" s="56">
        <f>('Montos de Referencia'!$C$5*1.1*'Montos de Referencia'!$I$3)+65000000</f>
        <v>86478600</v>
      </c>
      <c r="G115" s="63" t="s">
        <v>504</v>
      </c>
      <c r="H115" s="53" t="s">
        <v>79</v>
      </c>
      <c r="I115" s="34">
        <f>VLOOKUP(H115,'Criterios y Ponderaciones'!$D$48:$J$53,7,0)</f>
        <v>1</v>
      </c>
      <c r="J115" s="53" t="s">
        <v>81</v>
      </c>
      <c r="K115" s="34">
        <f>VLOOKUP(J115,'Criterios y Ponderaciones'!$E$48:$J$52,6,0)</f>
        <v>0.5</v>
      </c>
      <c r="L115" s="53" t="s">
        <v>49</v>
      </c>
      <c r="M115" s="34">
        <f>VLOOKUP(L115,'Criterios y Ponderaciones'!$F$53:$G$54,2,0)</f>
        <v>0</v>
      </c>
      <c r="N115" s="53" t="s">
        <v>84</v>
      </c>
      <c r="O115" s="34">
        <f>VLOOKUP(N115,'Criterios y Ponderaciones'!$G$48:$J$52,4,0)</f>
        <v>0</v>
      </c>
      <c r="P115" s="53" t="s">
        <v>41</v>
      </c>
      <c r="Q115" s="34">
        <f>VLOOKUP(P115,'Criterios y Ponderaciones'!$F$53:$G$54,2,0)</f>
        <v>1</v>
      </c>
      <c r="R115" s="58">
        <f t="shared" si="3"/>
        <v>443.18181818181813</v>
      </c>
      <c r="S115" s="68">
        <v>2019</v>
      </c>
      <c r="T115" s="57">
        <v>43281</v>
      </c>
      <c r="U115" s="57">
        <f>+T115+540</f>
        <v>43821</v>
      </c>
      <c r="V115" s="54" t="s">
        <v>230</v>
      </c>
      <c r="W115" s="54" t="s">
        <v>8</v>
      </c>
      <c r="X115" s="54" t="s">
        <v>12</v>
      </c>
      <c r="Y115" s="54" t="s">
        <v>12</v>
      </c>
      <c r="Z115" s="54" t="s">
        <v>12</v>
      </c>
      <c r="AA115" s="54" t="s">
        <v>27</v>
      </c>
      <c r="AB115" s="54" t="s">
        <v>16</v>
      </c>
      <c r="AC115" s="54" t="s">
        <v>12</v>
      </c>
      <c r="AD115" s="54" t="s">
        <v>12</v>
      </c>
      <c r="AE115" s="55" t="s">
        <v>624</v>
      </c>
      <c r="AF115" s="55" t="s">
        <v>536</v>
      </c>
    </row>
    <row r="116" spans="1:34" ht="91.5" customHeight="1" x14ac:dyDescent="0.25">
      <c r="A116" s="54" t="s">
        <v>592</v>
      </c>
      <c r="B116" s="54"/>
      <c r="C116" s="54" t="s">
        <v>99</v>
      </c>
      <c r="D116" s="55" t="s">
        <v>360</v>
      </c>
      <c r="E116" s="55" t="s">
        <v>361</v>
      </c>
      <c r="F116" s="56">
        <f>6000000*1.045+'Montos de Referencia'!$C$5*'Montos de Referencia'!$I$3</f>
        <v>25796000</v>
      </c>
      <c r="G116" s="62"/>
      <c r="H116" s="53" t="s">
        <v>77</v>
      </c>
      <c r="I116" s="34">
        <f>VLOOKUP(H116,'Criterios y Ponderaciones'!$D$48:$J$53,7,0)</f>
        <v>0.5</v>
      </c>
      <c r="J116" s="53" t="s">
        <v>83</v>
      </c>
      <c r="K116" s="34">
        <f>VLOOKUP(J116,'Criterios y Ponderaciones'!$E$48:$J$52,6,0)</f>
        <v>1</v>
      </c>
      <c r="L116" s="53" t="s">
        <v>49</v>
      </c>
      <c r="M116" s="34">
        <f>VLOOKUP(L116,'Criterios y Ponderaciones'!$F$53:$G$54,2,0)</f>
        <v>0</v>
      </c>
      <c r="N116" s="53" t="s">
        <v>84</v>
      </c>
      <c r="O116" s="34">
        <f>VLOOKUP(N116,'Criterios y Ponderaciones'!$G$48:$J$52,4,0)</f>
        <v>0</v>
      </c>
      <c r="P116" s="53" t="s">
        <v>41</v>
      </c>
      <c r="Q116" s="34">
        <f>VLOOKUP(P116,'Criterios y Ponderaciones'!$F$53:$G$54,2,0)</f>
        <v>1</v>
      </c>
      <c r="R116" s="58">
        <f t="shared" si="3"/>
        <v>431.81818181818176</v>
      </c>
      <c r="S116" s="68">
        <v>2019</v>
      </c>
      <c r="T116" s="57">
        <f>U116-360</f>
        <v>43440</v>
      </c>
      <c r="U116" s="57">
        <v>43800</v>
      </c>
      <c r="V116" s="54" t="s">
        <v>402</v>
      </c>
      <c r="W116" s="54" t="s">
        <v>8</v>
      </c>
      <c r="X116" s="54" t="s">
        <v>12</v>
      </c>
      <c r="Y116" s="54" t="s">
        <v>12</v>
      </c>
      <c r="Z116" s="54" t="s">
        <v>12</v>
      </c>
      <c r="AA116" s="54" t="s">
        <v>27</v>
      </c>
      <c r="AB116" s="54" t="s">
        <v>16</v>
      </c>
      <c r="AC116" s="54" t="s">
        <v>12</v>
      </c>
      <c r="AD116" s="54" t="s">
        <v>12</v>
      </c>
      <c r="AE116" s="55" t="s">
        <v>403</v>
      </c>
      <c r="AF116" s="55"/>
    </row>
    <row r="117" spans="1:34" ht="105" x14ac:dyDescent="0.25">
      <c r="A117" s="54" t="s">
        <v>592</v>
      </c>
      <c r="B117" s="54"/>
      <c r="C117" s="54" t="s">
        <v>98</v>
      </c>
      <c r="D117" s="55" t="s">
        <v>333</v>
      </c>
      <c r="E117" s="55" t="s">
        <v>334</v>
      </c>
      <c r="F117" s="56">
        <f>('Montos de Referencia'!$C$4+3.2*'Montos de Referencia'!$C$7)*'Montos de Referencia'!$I$3</f>
        <v>182793400</v>
      </c>
      <c r="G117" s="62"/>
      <c r="H117" s="53" t="s">
        <v>76</v>
      </c>
      <c r="I117" s="34">
        <f>VLOOKUP(H117,'Criterios y Ponderaciones'!$D$48:$J$53,7,0)</f>
        <v>0.25</v>
      </c>
      <c r="J117" s="53" t="s">
        <v>83</v>
      </c>
      <c r="K117" s="34">
        <f>VLOOKUP(J117,'Criterios y Ponderaciones'!$E$48:$J$52,6,0)</f>
        <v>1</v>
      </c>
      <c r="L117" s="53" t="s">
        <v>49</v>
      </c>
      <c r="M117" s="34">
        <f>VLOOKUP(L117,'Criterios y Ponderaciones'!$F$53:$G$54,2,0)</f>
        <v>0</v>
      </c>
      <c r="N117" s="53" t="s">
        <v>85</v>
      </c>
      <c r="O117" s="34">
        <f>VLOOKUP(N117,'Criterios y Ponderaciones'!$G$48:$J$52,4,0)</f>
        <v>0.25</v>
      </c>
      <c r="P117" s="53" t="s">
        <v>41</v>
      </c>
      <c r="Q117" s="34">
        <f>VLOOKUP(P117,'Criterios y Ponderaciones'!$F$53:$G$54,2,0)</f>
        <v>1</v>
      </c>
      <c r="R117" s="58">
        <f t="shared" si="3"/>
        <v>426.13636363636363</v>
      </c>
      <c r="S117" s="68">
        <v>2019</v>
      </c>
      <c r="T117" s="57">
        <f>U117-540</f>
        <v>43077</v>
      </c>
      <c r="U117" s="57">
        <v>43617</v>
      </c>
      <c r="V117" s="54" t="s">
        <v>363</v>
      </c>
      <c r="W117" s="54" t="s">
        <v>371</v>
      </c>
      <c r="X117" s="54" t="s">
        <v>228</v>
      </c>
      <c r="Y117" s="54" t="s">
        <v>9</v>
      </c>
      <c r="Z117" s="54" t="s">
        <v>9</v>
      </c>
      <c r="AA117" s="54" t="s">
        <v>13</v>
      </c>
      <c r="AB117" s="54" t="s">
        <v>16</v>
      </c>
      <c r="AC117" s="54" t="s">
        <v>19</v>
      </c>
      <c r="AD117" s="54" t="s">
        <v>12</v>
      </c>
      <c r="AE117" s="55" t="s">
        <v>372</v>
      </c>
      <c r="AF117" s="55" t="s">
        <v>373</v>
      </c>
    </row>
    <row r="118" spans="1:34" ht="30" x14ac:dyDescent="0.25">
      <c r="A118" s="54" t="s">
        <v>592</v>
      </c>
      <c r="B118" s="54"/>
      <c r="C118" s="54" t="s">
        <v>99</v>
      </c>
      <c r="D118" s="55" t="s">
        <v>356</v>
      </c>
      <c r="E118" s="55" t="s">
        <v>357</v>
      </c>
      <c r="F118" s="56">
        <v>200250000</v>
      </c>
      <c r="G118" s="62" t="s">
        <v>355</v>
      </c>
      <c r="H118" s="53" t="s">
        <v>79</v>
      </c>
      <c r="I118" s="34">
        <f>VLOOKUP(H118,'Criterios y Ponderaciones'!$D$48:$J$53,7,0)</f>
        <v>1</v>
      </c>
      <c r="J118" s="53" t="s">
        <v>80</v>
      </c>
      <c r="K118" s="34">
        <f>VLOOKUP(J118,'Criterios y Ponderaciones'!$E$48:$J$52,6,0)</f>
        <v>0.25</v>
      </c>
      <c r="L118" s="53" t="s">
        <v>49</v>
      </c>
      <c r="M118" s="34">
        <f>VLOOKUP(L118,'Criterios y Ponderaciones'!$F$53:$G$54,2,0)</f>
        <v>0</v>
      </c>
      <c r="N118" s="53" t="s">
        <v>84</v>
      </c>
      <c r="O118" s="34">
        <f>VLOOKUP(N118,'Criterios y Ponderaciones'!$G$48:$J$52,4,0)</f>
        <v>0</v>
      </c>
      <c r="P118" s="53" t="s">
        <v>41</v>
      </c>
      <c r="Q118" s="34">
        <f>VLOOKUP(P118,'Criterios y Ponderaciones'!$F$53:$G$54,2,0)</f>
        <v>1</v>
      </c>
      <c r="R118" s="58">
        <f t="shared" si="3"/>
        <v>396.59090909090912</v>
      </c>
      <c r="S118" s="68">
        <v>2019</v>
      </c>
      <c r="T118" s="57">
        <f>U118-540</f>
        <v>43260</v>
      </c>
      <c r="U118" s="57">
        <v>43800</v>
      </c>
      <c r="V118" s="54" t="s">
        <v>363</v>
      </c>
      <c r="W118" s="54" t="s">
        <v>8</v>
      </c>
      <c r="X118" s="54" t="s">
        <v>12</v>
      </c>
      <c r="Y118" s="54" t="s">
        <v>12</v>
      </c>
      <c r="Z118" s="54" t="s">
        <v>12</v>
      </c>
      <c r="AA118" s="54" t="s">
        <v>17</v>
      </c>
      <c r="AB118" s="54" t="s">
        <v>27</v>
      </c>
      <c r="AC118" s="54" t="s">
        <v>12</v>
      </c>
      <c r="AD118" s="54" t="s">
        <v>12</v>
      </c>
      <c r="AE118" s="55" t="s">
        <v>365</v>
      </c>
      <c r="AF118" s="55" t="s">
        <v>380</v>
      </c>
    </row>
    <row r="119" spans="1:34" ht="30" x14ac:dyDescent="0.25">
      <c r="A119" s="54" t="s">
        <v>592</v>
      </c>
      <c r="B119" s="54"/>
      <c r="C119" s="54" t="s">
        <v>99</v>
      </c>
      <c r="D119" s="55" t="s">
        <v>358</v>
      </c>
      <c r="E119" s="55" t="s">
        <v>359</v>
      </c>
      <c r="F119" s="56">
        <f>60000000*1.05+'Montos de Referencia'!$C$5*'Montos de Referencia'!$I$3</f>
        <v>82526000</v>
      </c>
      <c r="G119" s="62"/>
      <c r="H119" s="53" t="s">
        <v>76</v>
      </c>
      <c r="I119" s="34">
        <f>VLOOKUP(H119,'Criterios y Ponderaciones'!$D$48:$J$53,7,0)</f>
        <v>0.25</v>
      </c>
      <c r="J119" s="53" t="s">
        <v>81</v>
      </c>
      <c r="K119" s="34">
        <f>VLOOKUP(J119,'Criterios y Ponderaciones'!$E$48:$J$52,6,0)</f>
        <v>0.5</v>
      </c>
      <c r="L119" s="53" t="s">
        <v>49</v>
      </c>
      <c r="M119" s="34">
        <f>VLOOKUP(L119,'Criterios y Ponderaciones'!$F$53:$G$54,2,0)</f>
        <v>0</v>
      </c>
      <c r="N119" s="53" t="s">
        <v>84</v>
      </c>
      <c r="O119" s="34">
        <f>VLOOKUP(N119,'Criterios y Ponderaciones'!$G$48:$J$52,4,0)</f>
        <v>0</v>
      </c>
      <c r="P119" s="53" t="s">
        <v>41</v>
      </c>
      <c r="Q119" s="34">
        <f>VLOOKUP(P119,'Criterios y Ponderaciones'!$F$53:$G$54,2,0)</f>
        <v>1</v>
      </c>
      <c r="R119" s="58">
        <f t="shared" si="3"/>
        <v>286.36363636363637</v>
      </c>
      <c r="S119" s="68">
        <v>2019</v>
      </c>
      <c r="T119" s="57">
        <f>U119-540</f>
        <v>43260</v>
      </c>
      <c r="U119" s="57">
        <v>43800</v>
      </c>
      <c r="V119" s="54" t="s">
        <v>400</v>
      </c>
      <c r="W119" s="54" t="s">
        <v>8</v>
      </c>
      <c r="X119" s="54" t="s">
        <v>12</v>
      </c>
      <c r="Y119" s="54" t="s">
        <v>12</v>
      </c>
      <c r="Z119" s="54" t="s">
        <v>12</v>
      </c>
      <c r="AA119" s="54" t="s">
        <v>27</v>
      </c>
      <c r="AB119" s="54" t="s">
        <v>16</v>
      </c>
      <c r="AC119" s="54" t="s">
        <v>12</v>
      </c>
      <c r="AD119" s="54" t="s">
        <v>12</v>
      </c>
      <c r="AE119" s="55" t="s">
        <v>401</v>
      </c>
      <c r="AF119" s="55"/>
    </row>
    <row r="120" spans="1:34" ht="30.75" thickBot="1" x14ac:dyDescent="0.3">
      <c r="A120" s="54" t="s">
        <v>592</v>
      </c>
      <c r="B120" s="54"/>
      <c r="C120" s="54" t="s">
        <v>99</v>
      </c>
      <c r="D120" s="55" t="s">
        <v>350</v>
      </c>
      <c r="E120" s="55" t="s">
        <v>362</v>
      </c>
      <c r="F120" s="119">
        <f>60000000*1.04+'Montos de Referencia'!$C$5*'Montos de Referencia'!$I$3</f>
        <v>81926000</v>
      </c>
      <c r="G120" s="62"/>
      <c r="H120" s="53" t="s">
        <v>76</v>
      </c>
      <c r="I120" s="34">
        <f>VLOOKUP(H120,'Criterios y Ponderaciones'!$D$48:$J$53,7,0)</f>
        <v>0.25</v>
      </c>
      <c r="J120" s="53" t="s">
        <v>80</v>
      </c>
      <c r="K120" s="34">
        <f>VLOOKUP(J120,'Criterios y Ponderaciones'!$E$48:$J$52,6,0)</f>
        <v>0.25</v>
      </c>
      <c r="L120" s="53" t="s">
        <v>49</v>
      </c>
      <c r="M120" s="34">
        <f>VLOOKUP(L120,'Criterios y Ponderaciones'!$F$53:$G$54,2,0)</f>
        <v>0</v>
      </c>
      <c r="N120" s="53" t="s">
        <v>84</v>
      </c>
      <c r="O120" s="34">
        <f>VLOOKUP(N120,'Criterios y Ponderaciones'!$G$48:$J$52,4,0)</f>
        <v>0</v>
      </c>
      <c r="P120" s="53" t="s">
        <v>41</v>
      </c>
      <c r="Q120" s="34">
        <f>VLOOKUP(P120,'Criterios y Ponderaciones'!$F$53:$G$54,2,0)</f>
        <v>1</v>
      </c>
      <c r="R120" s="58">
        <f t="shared" si="3"/>
        <v>239.77272727272725</v>
      </c>
      <c r="S120" s="68">
        <v>2019</v>
      </c>
      <c r="T120" s="57">
        <f>U120-540</f>
        <v>43260</v>
      </c>
      <c r="U120" s="57">
        <v>43800</v>
      </c>
      <c r="V120" s="54" t="s">
        <v>392</v>
      </c>
      <c r="W120" s="54" t="s">
        <v>8</v>
      </c>
      <c r="X120" s="54" t="s">
        <v>12</v>
      </c>
      <c r="Y120" s="54" t="s">
        <v>12</v>
      </c>
      <c r="Z120" s="54" t="s">
        <v>12</v>
      </c>
      <c r="AA120" s="54" t="s">
        <v>27</v>
      </c>
      <c r="AB120" s="54" t="s">
        <v>16</v>
      </c>
      <c r="AC120" s="54" t="s">
        <v>12</v>
      </c>
      <c r="AD120" s="54" t="s">
        <v>12</v>
      </c>
      <c r="AE120" s="55" t="s">
        <v>393</v>
      </c>
      <c r="AF120" s="55"/>
    </row>
    <row r="121" spans="1:34" s="75" customFormat="1" ht="28.5" customHeight="1" thickBot="1" x14ac:dyDescent="0.3">
      <c r="A121" s="96"/>
      <c r="B121" s="97"/>
      <c r="C121" s="97"/>
      <c r="D121" s="98"/>
      <c r="E121" s="144" t="s">
        <v>692</v>
      </c>
      <c r="F121" s="116">
        <f>SUM(F90:F120)</f>
        <v>5185214717.9787502</v>
      </c>
      <c r="G121" s="99"/>
      <c r="H121" s="100"/>
      <c r="I121" s="101"/>
      <c r="J121" s="100"/>
      <c r="K121" s="101"/>
      <c r="L121" s="100"/>
      <c r="M121" s="101"/>
      <c r="N121" s="100"/>
      <c r="O121" s="101"/>
      <c r="P121" s="100"/>
      <c r="Q121" s="101"/>
      <c r="R121" s="102"/>
      <c r="S121" s="103"/>
      <c r="T121" s="104"/>
      <c r="U121" s="104"/>
      <c r="V121" s="97"/>
      <c r="W121" s="97"/>
      <c r="X121" s="97"/>
      <c r="Y121" s="97"/>
      <c r="Z121" s="97"/>
      <c r="AA121" s="97"/>
      <c r="AB121" s="97"/>
      <c r="AC121" s="97"/>
      <c r="AD121" s="97"/>
      <c r="AE121" s="98"/>
      <c r="AF121" s="105"/>
      <c r="AH121" s="76"/>
    </row>
    <row r="122" spans="1:34" s="75" customFormat="1" ht="28.5" customHeight="1" thickBot="1" x14ac:dyDescent="0.3">
      <c r="A122" s="106"/>
      <c r="B122" s="107"/>
      <c r="C122" s="107"/>
      <c r="D122" s="108"/>
      <c r="E122" s="108"/>
      <c r="F122" s="117">
        <f>+F121/'Montos de Referencia'!$I$3</f>
        <v>345220686.94931757</v>
      </c>
      <c r="G122" s="109"/>
      <c r="H122" s="110"/>
      <c r="I122" s="111"/>
      <c r="J122" s="110"/>
      <c r="K122" s="111"/>
      <c r="L122" s="110"/>
      <c r="M122" s="111"/>
      <c r="N122" s="110"/>
      <c r="O122" s="111"/>
      <c r="P122" s="110"/>
      <c r="Q122" s="111"/>
      <c r="R122" s="112"/>
      <c r="S122" s="113"/>
      <c r="T122" s="114"/>
      <c r="U122" s="114"/>
      <c r="V122" s="107"/>
      <c r="W122" s="107"/>
      <c r="X122" s="107"/>
      <c r="Y122" s="107"/>
      <c r="Z122" s="107"/>
      <c r="AA122" s="107"/>
      <c r="AB122" s="107"/>
      <c r="AC122" s="107"/>
      <c r="AD122" s="107"/>
      <c r="AE122" s="108"/>
      <c r="AF122" s="115"/>
      <c r="AH122" s="76"/>
    </row>
    <row r="123" spans="1:34" s="75" customFormat="1" ht="6.75" customHeight="1" x14ac:dyDescent="0.25">
      <c r="A123" s="79"/>
      <c r="B123" s="80"/>
      <c r="C123" s="80"/>
      <c r="D123" s="81"/>
      <c r="E123" s="81"/>
      <c r="F123" s="82"/>
      <c r="G123" s="83"/>
      <c r="H123" s="84"/>
      <c r="I123" s="85"/>
      <c r="J123" s="84"/>
      <c r="K123" s="85"/>
      <c r="L123" s="84"/>
      <c r="M123" s="85"/>
      <c r="N123" s="84"/>
      <c r="O123" s="85"/>
      <c r="P123" s="84"/>
      <c r="Q123" s="85"/>
      <c r="R123" s="86"/>
      <c r="S123" s="87"/>
      <c r="T123" s="88"/>
      <c r="U123" s="88"/>
      <c r="V123" s="80"/>
      <c r="W123" s="80"/>
      <c r="X123" s="80"/>
      <c r="Y123" s="80"/>
      <c r="Z123" s="80"/>
      <c r="AA123" s="80"/>
      <c r="AB123" s="80"/>
      <c r="AC123" s="80"/>
      <c r="AD123" s="80"/>
      <c r="AE123" s="81"/>
      <c r="AF123" s="89"/>
      <c r="AH123" s="76"/>
    </row>
    <row r="124" spans="1:34" s="73" customFormat="1" x14ac:dyDescent="0.25">
      <c r="A124" s="169" t="s">
        <v>593</v>
      </c>
      <c r="B124" s="169" t="s">
        <v>594</v>
      </c>
      <c r="C124" s="169" t="s">
        <v>32</v>
      </c>
      <c r="D124" s="169" t="s">
        <v>0</v>
      </c>
      <c r="E124" s="169" t="s">
        <v>1</v>
      </c>
      <c r="F124" s="169" t="s">
        <v>28</v>
      </c>
      <c r="G124" s="169" t="s">
        <v>31</v>
      </c>
      <c r="H124" s="169" t="s">
        <v>64</v>
      </c>
      <c r="I124" s="169"/>
      <c r="J124" s="169"/>
      <c r="K124" s="169"/>
      <c r="L124" s="169"/>
      <c r="M124" s="169"/>
      <c r="N124" s="169"/>
      <c r="O124" s="169"/>
      <c r="P124" s="169"/>
      <c r="Q124" s="169"/>
      <c r="R124" s="171" t="s">
        <v>70</v>
      </c>
      <c r="S124" s="169" t="s">
        <v>671</v>
      </c>
      <c r="T124" s="169" t="s">
        <v>605</v>
      </c>
      <c r="U124" s="169" t="s">
        <v>603</v>
      </c>
      <c r="V124" s="169" t="s">
        <v>25</v>
      </c>
      <c r="W124" s="140" t="s">
        <v>29</v>
      </c>
      <c r="X124" s="140"/>
      <c r="Y124" s="140"/>
      <c r="Z124" s="140"/>
      <c r="AA124" s="140"/>
      <c r="AB124" s="140"/>
      <c r="AC124" s="140"/>
      <c r="AD124" s="140"/>
      <c r="AE124" s="170" t="s">
        <v>89</v>
      </c>
      <c r="AF124" s="170"/>
      <c r="AH124" s="74"/>
    </row>
    <row r="125" spans="1:34" s="1" customFormat="1" x14ac:dyDescent="0.25">
      <c r="A125" s="169"/>
      <c r="B125" s="169"/>
      <c r="C125" s="169"/>
      <c r="D125" s="169"/>
      <c r="E125" s="169"/>
      <c r="F125" s="169"/>
      <c r="G125" s="169"/>
      <c r="H125" s="169" t="s">
        <v>65</v>
      </c>
      <c r="I125" s="169"/>
      <c r="J125" s="169" t="s">
        <v>66</v>
      </c>
      <c r="K125" s="169"/>
      <c r="L125" s="169" t="s">
        <v>67</v>
      </c>
      <c r="M125" s="169"/>
      <c r="N125" s="169" t="s">
        <v>68</v>
      </c>
      <c r="O125" s="169"/>
      <c r="P125" s="169" t="s">
        <v>69</v>
      </c>
      <c r="Q125" s="169"/>
      <c r="R125" s="171"/>
      <c r="S125" s="169"/>
      <c r="T125" s="169"/>
      <c r="U125" s="169"/>
      <c r="V125" s="169"/>
      <c r="W125" s="169" t="s">
        <v>2</v>
      </c>
      <c r="X125" s="170" t="s">
        <v>20</v>
      </c>
      <c r="Y125" s="170"/>
      <c r="Z125" s="169" t="s">
        <v>3</v>
      </c>
      <c r="AA125" s="169" t="s">
        <v>5</v>
      </c>
      <c r="AB125" s="169" t="s">
        <v>6</v>
      </c>
      <c r="AC125" s="169" t="s">
        <v>18</v>
      </c>
      <c r="AD125" s="169" t="s">
        <v>22</v>
      </c>
      <c r="AE125" s="169" t="s">
        <v>23</v>
      </c>
      <c r="AF125" s="169" t="s">
        <v>24</v>
      </c>
      <c r="AH125" s="4"/>
    </row>
    <row r="126" spans="1:34" ht="66" customHeight="1" x14ac:dyDescent="0.25">
      <c r="A126" s="169"/>
      <c r="B126" s="169"/>
      <c r="C126" s="169" t="s">
        <v>30</v>
      </c>
      <c r="D126" s="169"/>
      <c r="E126" s="169"/>
      <c r="F126" s="169"/>
      <c r="G126" s="169"/>
      <c r="H126" s="141" t="s">
        <v>104</v>
      </c>
      <c r="I126" s="141">
        <f>+'Criterios y Ponderaciones'!B143</f>
        <v>0</v>
      </c>
      <c r="J126" s="141" t="s">
        <v>689</v>
      </c>
      <c r="K126" s="141">
        <f>+'Criterios y Ponderaciones'!B144</f>
        <v>0</v>
      </c>
      <c r="L126" s="141" t="s">
        <v>106</v>
      </c>
      <c r="M126" s="141">
        <f>+'Criterios y Ponderaciones'!B145</f>
        <v>0</v>
      </c>
      <c r="N126" s="141" t="s">
        <v>107</v>
      </c>
      <c r="O126" s="141">
        <f>+'Criterios y Ponderaciones'!B146</f>
        <v>0</v>
      </c>
      <c r="P126" s="141" t="s">
        <v>108</v>
      </c>
      <c r="Q126" s="141">
        <f>+'Criterios y Ponderaciones'!B147</f>
        <v>0</v>
      </c>
      <c r="R126" s="171"/>
      <c r="S126" s="169"/>
      <c r="T126" s="169"/>
      <c r="U126" s="169"/>
      <c r="V126" s="169"/>
      <c r="W126" s="169"/>
      <c r="X126" s="142" t="s">
        <v>26</v>
      </c>
      <c r="Y126" s="143" t="s">
        <v>4</v>
      </c>
      <c r="Z126" s="169"/>
      <c r="AA126" s="169"/>
      <c r="AB126" s="169"/>
      <c r="AC126" s="169"/>
      <c r="AD126" s="169"/>
      <c r="AE126" s="169"/>
      <c r="AF126" s="169"/>
    </row>
    <row r="127" spans="1:34" ht="90" x14ac:dyDescent="0.25">
      <c r="A127" s="54" t="s">
        <v>592</v>
      </c>
      <c r="B127" s="54"/>
      <c r="C127" s="54" t="s">
        <v>99</v>
      </c>
      <c r="D127" s="55" t="s">
        <v>159</v>
      </c>
      <c r="E127" s="55" t="s">
        <v>160</v>
      </c>
      <c r="F127" s="56">
        <f>(3.2*'Montos de Referencia'!$C$7*'Montos de Referencia'!$I$3)</f>
        <v>16822400</v>
      </c>
      <c r="G127" s="63" t="s">
        <v>242</v>
      </c>
      <c r="H127" s="53" t="s">
        <v>79</v>
      </c>
      <c r="I127" s="34">
        <f>VLOOKUP(H127,'Criterios y Ponderaciones'!$D$48:$J$53,7,0)</f>
        <v>1</v>
      </c>
      <c r="J127" s="53" t="s">
        <v>83</v>
      </c>
      <c r="K127" s="34">
        <f>VLOOKUP(J127,'Criterios y Ponderaciones'!$E$48:$J$52,6,0)</f>
        <v>1</v>
      </c>
      <c r="L127" s="53" t="s">
        <v>49</v>
      </c>
      <c r="M127" s="34">
        <f>VLOOKUP(L127,'Criterios y Ponderaciones'!$F$53:$G$54,2,0)</f>
        <v>0</v>
      </c>
      <c r="N127" s="53" t="s">
        <v>88</v>
      </c>
      <c r="O127" s="34">
        <f>VLOOKUP(N127,'Criterios y Ponderaciones'!$G$48:$J$52,4,0)</f>
        <v>1</v>
      </c>
      <c r="P127" s="53" t="s">
        <v>41</v>
      </c>
      <c r="Q127" s="34">
        <f>VLOOKUP(P127,'Criterios y Ponderaciones'!$F$53:$G$54,2,0)</f>
        <v>1</v>
      </c>
      <c r="R127" s="58">
        <f t="shared" ref="R127:R163" si="4">(I127*$I$3+K127*$K$3+M127*$M$3+O127*$O$3+Q127*$Q$3)*1000</f>
        <v>722.72727272727263</v>
      </c>
      <c r="S127" s="68">
        <v>2020</v>
      </c>
      <c r="T127" s="57">
        <v>43830</v>
      </c>
      <c r="U127" s="57">
        <f>+T127+360</f>
        <v>44190</v>
      </c>
      <c r="V127" s="54" t="s">
        <v>226</v>
      </c>
      <c r="W127" s="54" t="s">
        <v>8</v>
      </c>
      <c r="X127" s="54" t="s">
        <v>12</v>
      </c>
      <c r="Y127" s="54" t="s">
        <v>12</v>
      </c>
      <c r="Z127" s="54" t="s">
        <v>12</v>
      </c>
      <c r="AA127" s="54" t="s">
        <v>17</v>
      </c>
      <c r="AB127" s="54" t="s">
        <v>27</v>
      </c>
      <c r="AC127" s="54" t="s">
        <v>12</v>
      </c>
      <c r="AD127" s="54" t="s">
        <v>12</v>
      </c>
      <c r="AE127" s="55" t="s">
        <v>607</v>
      </c>
      <c r="AF127" s="55" t="s">
        <v>528</v>
      </c>
    </row>
    <row r="128" spans="1:34" ht="105" x14ac:dyDescent="0.25">
      <c r="A128" s="54" t="s">
        <v>592</v>
      </c>
      <c r="B128" s="54"/>
      <c r="C128" s="54" t="s">
        <v>99</v>
      </c>
      <c r="D128" s="55" t="s">
        <v>157</v>
      </c>
      <c r="E128" s="55" t="s">
        <v>268</v>
      </c>
      <c r="F128" s="56">
        <f>(23*'Montos de Referencia'!$C$6*'Montos de Referencia'!$I$3)</f>
        <v>93274200</v>
      </c>
      <c r="G128" s="63" t="s">
        <v>242</v>
      </c>
      <c r="H128" s="53" t="s">
        <v>79</v>
      </c>
      <c r="I128" s="34">
        <f>VLOOKUP(H128,'Criterios y Ponderaciones'!$D$48:$J$53,7,0)</f>
        <v>1</v>
      </c>
      <c r="J128" s="53" t="s">
        <v>83</v>
      </c>
      <c r="K128" s="34">
        <f>VLOOKUP(J128,'Criterios y Ponderaciones'!$E$48:$J$52,6,0)</f>
        <v>1</v>
      </c>
      <c r="L128" s="53" t="s">
        <v>49</v>
      </c>
      <c r="M128" s="34">
        <f>VLOOKUP(L128,'Criterios y Ponderaciones'!$F$53:$G$54,2,0)</f>
        <v>0</v>
      </c>
      <c r="N128" s="53" t="s">
        <v>88</v>
      </c>
      <c r="O128" s="34">
        <f>VLOOKUP(N128,'Criterios y Ponderaciones'!$G$48:$J$52,4,0)</f>
        <v>1</v>
      </c>
      <c r="P128" s="53" t="s">
        <v>41</v>
      </c>
      <c r="Q128" s="34">
        <f>VLOOKUP(P128,'Criterios y Ponderaciones'!$F$53:$G$54,2,0)</f>
        <v>1</v>
      </c>
      <c r="R128" s="58">
        <f t="shared" si="4"/>
        <v>722.72727272727263</v>
      </c>
      <c r="S128" s="68">
        <v>2020</v>
      </c>
      <c r="T128" s="57">
        <v>43466</v>
      </c>
      <c r="U128" s="57">
        <f>+T128+720</f>
        <v>44186</v>
      </c>
      <c r="V128" s="54" t="s">
        <v>226</v>
      </c>
      <c r="W128" s="54" t="s">
        <v>8</v>
      </c>
      <c r="X128" s="54" t="s">
        <v>12</v>
      </c>
      <c r="Y128" s="54" t="s">
        <v>12</v>
      </c>
      <c r="Z128" s="54" t="s">
        <v>12</v>
      </c>
      <c r="AA128" s="54" t="s">
        <v>17</v>
      </c>
      <c r="AB128" s="54" t="s">
        <v>27</v>
      </c>
      <c r="AC128" s="54" t="s">
        <v>12</v>
      </c>
      <c r="AD128" s="54" t="s">
        <v>12</v>
      </c>
      <c r="AE128" s="55" t="s">
        <v>618</v>
      </c>
      <c r="AF128" s="55" t="s">
        <v>668</v>
      </c>
    </row>
    <row r="129" spans="1:34" ht="60" x14ac:dyDescent="0.25">
      <c r="A129" s="54" t="s">
        <v>592</v>
      </c>
      <c r="B129" s="54"/>
      <c r="C129" s="54" t="s">
        <v>99</v>
      </c>
      <c r="D129" s="55" t="s">
        <v>705</v>
      </c>
      <c r="E129" s="55" t="s">
        <v>298</v>
      </c>
      <c r="F129" s="56">
        <v>89664929.78625001</v>
      </c>
      <c r="G129" s="62"/>
      <c r="H129" s="53" t="s">
        <v>79</v>
      </c>
      <c r="I129" s="34">
        <f>VLOOKUP(H129,'Criterios y Ponderaciones'!$D$48:$J$53,7,0)</f>
        <v>1</v>
      </c>
      <c r="J129" s="53" t="s">
        <v>80</v>
      </c>
      <c r="K129" s="34">
        <f>VLOOKUP(J129,'Criterios y Ponderaciones'!$E$48:$J$52,6,0)</f>
        <v>0.25</v>
      </c>
      <c r="L129" s="53" t="s">
        <v>41</v>
      </c>
      <c r="M129" s="34">
        <f>VLOOKUP(L129,'Criterios y Ponderaciones'!$F$53:$G$54,2,0)</f>
        <v>1</v>
      </c>
      <c r="N129" s="53" t="s">
        <v>85</v>
      </c>
      <c r="O129" s="34">
        <f>VLOOKUP(N129,'Criterios y Ponderaciones'!$G$48:$J$52,4,0)</f>
        <v>0.25</v>
      </c>
      <c r="P129" s="53" t="s">
        <v>41</v>
      </c>
      <c r="Q129" s="34">
        <f>VLOOKUP(P129,'Criterios y Ponderaciones'!$F$53:$G$54,2,0)</f>
        <v>1</v>
      </c>
      <c r="R129" s="58">
        <f>(I129*$I$3+K129*$K$3+M129*$M$3+O129*$O$3+Q129*$Q$3)*1000</f>
        <v>720.4545454545455</v>
      </c>
      <c r="S129" s="68">
        <v>2020</v>
      </c>
      <c r="T129" s="57">
        <v>43831</v>
      </c>
      <c r="U129" s="57">
        <v>44196</v>
      </c>
      <c r="V129" s="54" t="s">
        <v>305</v>
      </c>
      <c r="W129" s="54" t="s">
        <v>7</v>
      </c>
      <c r="X129" s="54" t="s">
        <v>681</v>
      </c>
      <c r="Y129" s="54" t="s">
        <v>9</v>
      </c>
      <c r="Z129" s="54" t="s">
        <v>12</v>
      </c>
      <c r="AA129" s="54" t="s">
        <v>307</v>
      </c>
      <c r="AB129" s="54" t="s">
        <v>15</v>
      </c>
      <c r="AC129" s="54" t="s">
        <v>12</v>
      </c>
      <c r="AD129" s="54" t="s">
        <v>12</v>
      </c>
      <c r="AE129" s="55" t="s">
        <v>320</v>
      </c>
      <c r="AF129" s="55" t="s">
        <v>321</v>
      </c>
    </row>
    <row r="130" spans="1:34" ht="46.5" customHeight="1" x14ac:dyDescent="0.25">
      <c r="A130" s="54" t="s">
        <v>592</v>
      </c>
      <c r="B130" s="54"/>
      <c r="C130" s="54" t="s">
        <v>98</v>
      </c>
      <c r="D130" s="55" t="s">
        <v>335</v>
      </c>
      <c r="E130" s="55" t="s">
        <v>336</v>
      </c>
      <c r="F130" s="56">
        <f>('Montos de Referencia'!$C$4)*'Montos de Referencia'!$I$3*1.01</f>
        <v>167630710</v>
      </c>
      <c r="G130" s="62"/>
      <c r="H130" s="53" t="s">
        <v>77</v>
      </c>
      <c r="I130" s="34">
        <f>VLOOKUP(H130,'Criterios y Ponderaciones'!$D$48:$J$53,7,0)</f>
        <v>0.5</v>
      </c>
      <c r="J130" s="53" t="s">
        <v>80</v>
      </c>
      <c r="K130" s="34">
        <f>VLOOKUP(J130,'Criterios y Ponderaciones'!$E$48:$J$52,6,0)</f>
        <v>0.25</v>
      </c>
      <c r="L130" s="53" t="s">
        <v>41</v>
      </c>
      <c r="M130" s="34">
        <f>VLOOKUP(L130,'Criterios y Ponderaciones'!$F$53:$G$54,2,0)</f>
        <v>1</v>
      </c>
      <c r="N130" s="53" t="s">
        <v>84</v>
      </c>
      <c r="O130" s="34">
        <f>VLOOKUP(N130,'Criterios y Ponderaciones'!$G$48:$J$52,4,0)</f>
        <v>0</v>
      </c>
      <c r="P130" s="53" t="s">
        <v>41</v>
      </c>
      <c r="Q130" s="34">
        <f>VLOOKUP(P130,'Criterios y Ponderaciones'!$F$53:$G$54,2,0)</f>
        <v>1</v>
      </c>
      <c r="R130" s="58">
        <f t="shared" si="4"/>
        <v>569.31818181818187</v>
      </c>
      <c r="S130" s="68">
        <v>2020</v>
      </c>
      <c r="T130" s="57">
        <f>U130-540</f>
        <v>43443</v>
      </c>
      <c r="U130" s="57">
        <v>43983</v>
      </c>
      <c r="V130" s="54" t="s">
        <v>363</v>
      </c>
      <c r="W130" s="54" t="s">
        <v>364</v>
      </c>
      <c r="X130" s="54" t="s">
        <v>12</v>
      </c>
      <c r="Y130" s="54" t="s">
        <v>10</v>
      </c>
      <c r="Z130" s="54" t="s">
        <v>9</v>
      </c>
      <c r="AA130" s="54" t="s">
        <v>27</v>
      </c>
      <c r="AB130" s="54" t="s">
        <v>15</v>
      </c>
      <c r="AC130" s="54" t="s">
        <v>19</v>
      </c>
      <c r="AD130" s="54" t="s">
        <v>12</v>
      </c>
      <c r="AE130" s="55" t="s">
        <v>374</v>
      </c>
      <c r="AF130" s="55" t="s">
        <v>375</v>
      </c>
    </row>
    <row r="131" spans="1:34" ht="58.5" customHeight="1" x14ac:dyDescent="0.25">
      <c r="A131" s="54" t="s">
        <v>592</v>
      </c>
      <c r="B131" s="54"/>
      <c r="C131" s="54" t="s">
        <v>98</v>
      </c>
      <c r="D131" s="55" t="s">
        <v>337</v>
      </c>
      <c r="E131" s="55" t="s">
        <v>338</v>
      </c>
      <c r="F131" s="56">
        <f>60000000+'Montos de Referencia'!$C$5*'Montos de Referencia'!$I$3</f>
        <v>79526000</v>
      </c>
      <c r="G131" s="62"/>
      <c r="H131" s="53" t="s">
        <v>77</v>
      </c>
      <c r="I131" s="34">
        <f>VLOOKUP(H131,'Criterios y Ponderaciones'!$D$48:$J$53,7,0)</f>
        <v>0.5</v>
      </c>
      <c r="J131" s="53" t="s">
        <v>80</v>
      </c>
      <c r="K131" s="34">
        <f>VLOOKUP(J131,'Criterios y Ponderaciones'!$E$48:$J$52,6,0)</f>
        <v>0.25</v>
      </c>
      <c r="L131" s="53" t="s">
        <v>41</v>
      </c>
      <c r="M131" s="34">
        <f>VLOOKUP(L131,'Criterios y Ponderaciones'!$F$53:$G$54,2,0)</f>
        <v>1</v>
      </c>
      <c r="N131" s="53" t="s">
        <v>84</v>
      </c>
      <c r="O131" s="34">
        <f>VLOOKUP(N131,'Criterios y Ponderaciones'!$G$48:$J$52,4,0)</f>
        <v>0</v>
      </c>
      <c r="P131" s="53" t="s">
        <v>41</v>
      </c>
      <c r="Q131" s="34">
        <f>VLOOKUP(P131,'Criterios y Ponderaciones'!$F$53:$G$54,2,0)</f>
        <v>1</v>
      </c>
      <c r="R131" s="58">
        <f t="shared" si="4"/>
        <v>569.31818181818187</v>
      </c>
      <c r="S131" s="68">
        <v>2020</v>
      </c>
      <c r="T131" s="57">
        <f>U131-360</f>
        <v>43623</v>
      </c>
      <c r="U131" s="57">
        <v>43983</v>
      </c>
      <c r="V131" s="54" t="s">
        <v>363</v>
      </c>
      <c r="W131" s="54" t="s">
        <v>364</v>
      </c>
      <c r="X131" s="54" t="s">
        <v>12</v>
      </c>
      <c r="Y131" s="54" t="s">
        <v>10</v>
      </c>
      <c r="Z131" s="54" t="s">
        <v>9</v>
      </c>
      <c r="AA131" s="54" t="s">
        <v>27</v>
      </c>
      <c r="AB131" s="54" t="s">
        <v>16</v>
      </c>
      <c r="AC131" s="54" t="s">
        <v>19</v>
      </c>
      <c r="AD131" s="54" t="s">
        <v>12</v>
      </c>
      <c r="AE131" s="55" t="s">
        <v>374</v>
      </c>
      <c r="AF131" s="55" t="s">
        <v>375</v>
      </c>
      <c r="AH131" s="4" t="s">
        <v>487</v>
      </c>
    </row>
    <row r="132" spans="1:34" ht="48" customHeight="1" x14ac:dyDescent="0.25">
      <c r="A132" s="54" t="s">
        <v>592</v>
      </c>
      <c r="B132" s="54"/>
      <c r="C132" s="54" t="s">
        <v>99</v>
      </c>
      <c r="D132" s="55" t="s">
        <v>171</v>
      </c>
      <c r="E132" s="55" t="s">
        <v>266</v>
      </c>
      <c r="F132" s="56">
        <f>(22*'Montos de Referencia'!$C$6*'Montos de Referencia'!$I$3)</f>
        <v>89218800</v>
      </c>
      <c r="G132" s="63" t="s">
        <v>246</v>
      </c>
      <c r="H132" s="53" t="s">
        <v>79</v>
      </c>
      <c r="I132" s="34">
        <f>VLOOKUP(H132,'Criterios y Ponderaciones'!$D$48:$J$53,7,0)</f>
        <v>1</v>
      </c>
      <c r="J132" s="53" t="s">
        <v>83</v>
      </c>
      <c r="K132" s="34">
        <f>VLOOKUP(J132,'Criterios y Ponderaciones'!$E$48:$J$52,6,0)</f>
        <v>1</v>
      </c>
      <c r="L132" s="53" t="s">
        <v>49</v>
      </c>
      <c r="M132" s="34">
        <f>VLOOKUP(L132,'Criterios y Ponderaciones'!$F$53:$G$54,2,0)</f>
        <v>0</v>
      </c>
      <c r="N132" s="53" t="s">
        <v>84</v>
      </c>
      <c r="O132" s="34">
        <f>VLOOKUP(N132,'Criterios y Ponderaciones'!$G$48:$J$52,4,0)</f>
        <v>0</v>
      </c>
      <c r="P132" s="53" t="s">
        <v>41</v>
      </c>
      <c r="Q132" s="34">
        <f>VLOOKUP(P132,'Criterios y Ponderaciones'!$F$53:$G$54,2,0)</f>
        <v>1</v>
      </c>
      <c r="R132" s="58">
        <f t="shared" si="4"/>
        <v>536.36363636363637</v>
      </c>
      <c r="S132" s="68">
        <v>2020</v>
      </c>
      <c r="T132" s="57">
        <v>43647</v>
      </c>
      <c r="U132" s="57">
        <f>+T132+540</f>
        <v>44187</v>
      </c>
      <c r="V132" s="54" t="s">
        <v>226</v>
      </c>
      <c r="W132" s="54" t="s">
        <v>8</v>
      </c>
      <c r="X132" s="54" t="s">
        <v>12</v>
      </c>
      <c r="Y132" s="54" t="s">
        <v>12</v>
      </c>
      <c r="Z132" s="54" t="s">
        <v>12</v>
      </c>
      <c r="AA132" s="54" t="s">
        <v>17</v>
      </c>
      <c r="AB132" s="54" t="s">
        <v>27</v>
      </c>
      <c r="AC132" s="54" t="s">
        <v>12</v>
      </c>
      <c r="AD132" s="54" t="s">
        <v>12</v>
      </c>
      <c r="AE132" s="55" t="s">
        <v>620</v>
      </c>
      <c r="AF132" s="55" t="s">
        <v>532</v>
      </c>
    </row>
    <row r="133" spans="1:34" ht="75" x14ac:dyDescent="0.25">
      <c r="A133" s="54" t="s">
        <v>592</v>
      </c>
      <c r="B133" s="54"/>
      <c r="C133" s="54" t="s">
        <v>99</v>
      </c>
      <c r="D133" s="55" t="s">
        <v>176</v>
      </c>
      <c r="E133" s="55" t="s">
        <v>177</v>
      </c>
      <c r="F133" s="56">
        <f>('Montos de Referencia'!$C$3*'Montos de Referencia'!$I$3)*1.017</f>
        <v>139005594</v>
      </c>
      <c r="G133" s="63" t="s">
        <v>248</v>
      </c>
      <c r="H133" s="53" t="s">
        <v>79</v>
      </c>
      <c r="I133" s="34">
        <f>VLOOKUP(H133,'Criterios y Ponderaciones'!$D$48:$J$53,7,0)</f>
        <v>1</v>
      </c>
      <c r="J133" s="53" t="s">
        <v>83</v>
      </c>
      <c r="K133" s="34">
        <f>VLOOKUP(J133,'Criterios y Ponderaciones'!$E$48:$J$52,6,0)</f>
        <v>1</v>
      </c>
      <c r="L133" s="53" t="s">
        <v>49</v>
      </c>
      <c r="M133" s="34">
        <f>VLOOKUP(L133,'Criterios y Ponderaciones'!$F$53:$G$54,2,0)</f>
        <v>0</v>
      </c>
      <c r="N133" s="53" t="s">
        <v>84</v>
      </c>
      <c r="O133" s="34">
        <f>VLOOKUP(N133,'Criterios y Ponderaciones'!$G$48:$J$52,4,0)</f>
        <v>0</v>
      </c>
      <c r="P133" s="53" t="s">
        <v>41</v>
      </c>
      <c r="Q133" s="34">
        <f>VLOOKUP(P133,'Criterios y Ponderaciones'!$F$53:$G$54,2,0)</f>
        <v>1</v>
      </c>
      <c r="R133" s="58">
        <f t="shared" si="4"/>
        <v>536.36363636363637</v>
      </c>
      <c r="S133" s="68">
        <v>2020</v>
      </c>
      <c r="T133" s="57">
        <v>43646</v>
      </c>
      <c r="U133" s="57">
        <f>+T133+540</f>
        <v>44186</v>
      </c>
      <c r="V133" s="54" t="s">
        <v>226</v>
      </c>
      <c r="W133" s="54" t="s">
        <v>8</v>
      </c>
      <c r="X133" s="54" t="s">
        <v>12</v>
      </c>
      <c r="Y133" s="54" t="s">
        <v>12</v>
      </c>
      <c r="Z133" s="54" t="s">
        <v>12</v>
      </c>
      <c r="AA133" s="54" t="s">
        <v>27</v>
      </c>
      <c r="AB133" s="54" t="s">
        <v>17</v>
      </c>
      <c r="AC133" s="54" t="s">
        <v>12</v>
      </c>
      <c r="AD133" s="54" t="s">
        <v>12</v>
      </c>
      <c r="AE133" s="55" t="s">
        <v>625</v>
      </c>
      <c r="AF133" s="55" t="s">
        <v>537</v>
      </c>
    </row>
    <row r="134" spans="1:34" ht="59.25" customHeight="1" x14ac:dyDescent="0.25">
      <c r="A134" s="54" t="s">
        <v>592</v>
      </c>
      <c r="B134" s="54"/>
      <c r="C134" s="54" t="s">
        <v>99</v>
      </c>
      <c r="D134" s="55" t="s">
        <v>178</v>
      </c>
      <c r="E134" s="55" t="s">
        <v>179</v>
      </c>
      <c r="F134" s="56">
        <f>(2.2*'Montos de Referencia'!$C$7*'Montos de Referencia'!$I$3)</f>
        <v>11565400.000000002</v>
      </c>
      <c r="G134" s="63" t="s">
        <v>248</v>
      </c>
      <c r="H134" s="53" t="s">
        <v>79</v>
      </c>
      <c r="I134" s="34">
        <f>VLOOKUP(H134,'Criterios y Ponderaciones'!$D$48:$J$53,7,0)</f>
        <v>1</v>
      </c>
      <c r="J134" s="53" t="s">
        <v>83</v>
      </c>
      <c r="K134" s="34">
        <f>VLOOKUP(J134,'Criterios y Ponderaciones'!$E$48:$J$52,6,0)</f>
        <v>1</v>
      </c>
      <c r="L134" s="53" t="s">
        <v>49</v>
      </c>
      <c r="M134" s="34">
        <f>VLOOKUP(L134,'Criterios y Ponderaciones'!$F$53:$G$54,2,0)</f>
        <v>0</v>
      </c>
      <c r="N134" s="53" t="s">
        <v>84</v>
      </c>
      <c r="O134" s="34">
        <f>VLOOKUP(N134,'Criterios y Ponderaciones'!$G$48:$J$52,4,0)</f>
        <v>0</v>
      </c>
      <c r="P134" s="53" t="s">
        <v>41</v>
      </c>
      <c r="Q134" s="34">
        <f>VLOOKUP(P134,'Criterios y Ponderaciones'!$F$53:$G$54,2,0)</f>
        <v>1</v>
      </c>
      <c r="R134" s="58">
        <f t="shared" si="4"/>
        <v>536.36363636363637</v>
      </c>
      <c r="S134" s="68">
        <v>2020</v>
      </c>
      <c r="T134" s="57">
        <v>43831</v>
      </c>
      <c r="U134" s="57">
        <f>+T134+360</f>
        <v>44191</v>
      </c>
      <c r="V134" s="54" t="s">
        <v>226</v>
      </c>
      <c r="W134" s="54" t="s">
        <v>8</v>
      </c>
      <c r="X134" s="54" t="s">
        <v>12</v>
      </c>
      <c r="Y134" s="54" t="s">
        <v>12</v>
      </c>
      <c r="Z134" s="54" t="s">
        <v>12</v>
      </c>
      <c r="AA134" s="54" t="s">
        <v>17</v>
      </c>
      <c r="AB134" s="54" t="s">
        <v>27</v>
      </c>
      <c r="AC134" s="54" t="s">
        <v>12</v>
      </c>
      <c r="AD134" s="54" t="s">
        <v>12</v>
      </c>
      <c r="AE134" s="55" t="s">
        <v>625</v>
      </c>
      <c r="AF134" s="55" t="s">
        <v>537</v>
      </c>
    </row>
    <row r="135" spans="1:34" ht="60" x14ac:dyDescent="0.25">
      <c r="A135" s="54" t="s">
        <v>592</v>
      </c>
      <c r="B135" s="54"/>
      <c r="C135" s="54" t="s">
        <v>100</v>
      </c>
      <c r="D135" s="55" t="s">
        <v>187</v>
      </c>
      <c r="E135" s="55" t="s">
        <v>188</v>
      </c>
      <c r="F135" s="56">
        <f>(44*'Montos de Referencia'!$C$6+1*'Montos de Referencia'!$C$10)*'Montos de Referencia'!$I$3</f>
        <v>193457600</v>
      </c>
      <c r="G135" s="63" t="s">
        <v>505</v>
      </c>
      <c r="H135" s="53" t="s">
        <v>79</v>
      </c>
      <c r="I135" s="34">
        <f>VLOOKUP(H135,'Criterios y Ponderaciones'!$D$48:$J$53,7,0)</f>
        <v>1</v>
      </c>
      <c r="J135" s="53" t="s">
        <v>83</v>
      </c>
      <c r="K135" s="34">
        <f>VLOOKUP(J135,'Criterios y Ponderaciones'!$E$48:$J$52,6,0)</f>
        <v>1</v>
      </c>
      <c r="L135" s="53" t="s">
        <v>49</v>
      </c>
      <c r="M135" s="34">
        <f>VLOOKUP(L135,'Criterios y Ponderaciones'!$F$53:$G$54,2,0)</f>
        <v>0</v>
      </c>
      <c r="N135" s="53" t="s">
        <v>84</v>
      </c>
      <c r="O135" s="34">
        <f>VLOOKUP(N135,'Criterios y Ponderaciones'!$G$48:$J$52,4,0)</f>
        <v>0</v>
      </c>
      <c r="P135" s="53" t="s">
        <v>41</v>
      </c>
      <c r="Q135" s="34">
        <f>VLOOKUP(P135,'Criterios y Ponderaciones'!$F$53:$G$54,2,0)</f>
        <v>1</v>
      </c>
      <c r="R135" s="58">
        <f t="shared" si="4"/>
        <v>536.36363636363637</v>
      </c>
      <c r="S135" s="68">
        <v>2020</v>
      </c>
      <c r="T135" s="57">
        <v>43466</v>
      </c>
      <c r="U135" s="57">
        <f>+T135+720</f>
        <v>44186</v>
      </c>
      <c r="V135" s="54" t="s">
        <v>541</v>
      </c>
      <c r="W135" s="54" t="s">
        <v>8</v>
      </c>
      <c r="X135" s="54" t="s">
        <v>12</v>
      </c>
      <c r="Y135" s="54" t="s">
        <v>12</v>
      </c>
      <c r="Z135" s="54" t="s">
        <v>12</v>
      </c>
      <c r="AA135" s="54" t="s">
        <v>17</v>
      </c>
      <c r="AB135" s="54" t="s">
        <v>27</v>
      </c>
      <c r="AC135" s="54" t="s">
        <v>12</v>
      </c>
      <c r="AD135" s="54" t="s">
        <v>12</v>
      </c>
      <c r="AE135" s="55" t="s">
        <v>628</v>
      </c>
      <c r="AF135" s="55" t="s">
        <v>542</v>
      </c>
    </row>
    <row r="136" spans="1:34" ht="57" customHeight="1" x14ac:dyDescent="0.25">
      <c r="A136" s="54" t="s">
        <v>592</v>
      </c>
      <c r="B136" s="54"/>
      <c r="C136" s="54" t="s">
        <v>100</v>
      </c>
      <c r="D136" s="55" t="s">
        <v>193</v>
      </c>
      <c r="E136" s="55" t="s">
        <v>194</v>
      </c>
      <c r="F136" s="56">
        <f>(2*'Montos de Referencia'!$C$9+53*'Montos de Referencia'!$C$6+1*'Montos de Referencia'!$C$10)*'Montos de Referencia'!$I$3</f>
        <v>277419400</v>
      </c>
      <c r="G136" s="63" t="s">
        <v>508</v>
      </c>
      <c r="H136" s="53" t="s">
        <v>79</v>
      </c>
      <c r="I136" s="34">
        <f>VLOOKUP(H136,'Criterios y Ponderaciones'!$D$48:$J$53,7,0)</f>
        <v>1</v>
      </c>
      <c r="J136" s="53" t="s">
        <v>83</v>
      </c>
      <c r="K136" s="34">
        <f>VLOOKUP(J136,'Criterios y Ponderaciones'!$E$48:$J$52,6,0)</f>
        <v>1</v>
      </c>
      <c r="L136" s="53" t="s">
        <v>49</v>
      </c>
      <c r="M136" s="34">
        <f>VLOOKUP(L136,'Criterios y Ponderaciones'!$F$53:$G$54,2,0)</f>
        <v>0</v>
      </c>
      <c r="N136" s="53" t="s">
        <v>84</v>
      </c>
      <c r="O136" s="34">
        <f>VLOOKUP(N136,'Criterios y Ponderaciones'!$G$48:$J$52,4,0)</f>
        <v>0</v>
      </c>
      <c r="P136" s="53" t="s">
        <v>41</v>
      </c>
      <c r="Q136" s="34">
        <f>VLOOKUP(P136,'Criterios y Ponderaciones'!$F$53:$G$54,2,0)</f>
        <v>1</v>
      </c>
      <c r="R136" s="58">
        <f t="shared" si="4"/>
        <v>536.36363636363637</v>
      </c>
      <c r="S136" s="68">
        <v>2020</v>
      </c>
      <c r="T136" s="57">
        <v>43466</v>
      </c>
      <c r="U136" s="57">
        <f>+T136+720</f>
        <v>44186</v>
      </c>
      <c r="V136" s="54" t="s">
        <v>226</v>
      </c>
      <c r="W136" s="54" t="s">
        <v>8</v>
      </c>
      <c r="X136" s="54" t="s">
        <v>12</v>
      </c>
      <c r="Y136" s="54" t="s">
        <v>12</v>
      </c>
      <c r="Z136" s="54" t="s">
        <v>12</v>
      </c>
      <c r="AA136" s="54" t="s">
        <v>17</v>
      </c>
      <c r="AB136" s="54" t="s">
        <v>27</v>
      </c>
      <c r="AC136" s="54" t="s">
        <v>12</v>
      </c>
      <c r="AD136" s="54" t="s">
        <v>12</v>
      </c>
      <c r="AE136" s="55" t="s">
        <v>630</v>
      </c>
      <c r="AF136" s="55" t="s">
        <v>547</v>
      </c>
    </row>
    <row r="137" spans="1:34" ht="55.5" customHeight="1" x14ac:dyDescent="0.25">
      <c r="A137" s="54" t="s">
        <v>592</v>
      </c>
      <c r="B137" s="54"/>
      <c r="C137" s="54" t="s">
        <v>100</v>
      </c>
      <c r="D137" s="55" t="s">
        <v>195</v>
      </c>
      <c r="E137" s="55" t="s">
        <v>276</v>
      </c>
      <c r="F137" s="56">
        <f>(3*'Montos de Referencia'!$C$9+45*'Montos de Referencia'!$C$6+1*'Montos de Referencia'!$C$10)*'Montos de Referencia'!$I$3</f>
        <v>268707800</v>
      </c>
      <c r="G137" s="63" t="s">
        <v>508</v>
      </c>
      <c r="H137" s="53" t="s">
        <v>79</v>
      </c>
      <c r="I137" s="34">
        <f>VLOOKUP(H137,'Criterios y Ponderaciones'!$D$48:$J$53,7,0)</f>
        <v>1</v>
      </c>
      <c r="J137" s="53" t="s">
        <v>83</v>
      </c>
      <c r="K137" s="34">
        <f>VLOOKUP(J137,'Criterios y Ponderaciones'!$E$48:$J$52,6,0)</f>
        <v>1</v>
      </c>
      <c r="L137" s="53" t="s">
        <v>49</v>
      </c>
      <c r="M137" s="34">
        <f>VLOOKUP(L137,'Criterios y Ponderaciones'!$F$53:$G$54,2,0)</f>
        <v>0</v>
      </c>
      <c r="N137" s="53" t="s">
        <v>84</v>
      </c>
      <c r="O137" s="34">
        <f>VLOOKUP(N137,'Criterios y Ponderaciones'!$G$48:$J$52,4,0)</f>
        <v>0</v>
      </c>
      <c r="P137" s="53" t="s">
        <v>41</v>
      </c>
      <c r="Q137" s="34">
        <f>VLOOKUP(P137,'Criterios y Ponderaciones'!$F$53:$G$54,2,0)</f>
        <v>1</v>
      </c>
      <c r="R137" s="58">
        <f t="shared" si="4"/>
        <v>536.36363636363637</v>
      </c>
      <c r="S137" s="68">
        <v>2020</v>
      </c>
      <c r="T137" s="57">
        <v>43466</v>
      </c>
      <c r="U137" s="57">
        <f>+T137+720</f>
        <v>44186</v>
      </c>
      <c r="V137" s="54" t="s">
        <v>226</v>
      </c>
      <c r="W137" s="54" t="s">
        <v>8</v>
      </c>
      <c r="X137" s="54" t="s">
        <v>12</v>
      </c>
      <c r="Y137" s="54" t="s">
        <v>12</v>
      </c>
      <c r="Z137" s="54" t="s">
        <v>12</v>
      </c>
      <c r="AA137" s="54" t="s">
        <v>17</v>
      </c>
      <c r="AB137" s="54" t="s">
        <v>27</v>
      </c>
      <c r="AC137" s="54" t="s">
        <v>12</v>
      </c>
      <c r="AD137" s="54" t="s">
        <v>12</v>
      </c>
      <c r="AE137" s="55" t="s">
        <v>631</v>
      </c>
      <c r="AF137" s="55" t="s">
        <v>547</v>
      </c>
    </row>
    <row r="138" spans="1:34" ht="54.75" customHeight="1" x14ac:dyDescent="0.25">
      <c r="A138" s="54" t="s">
        <v>592</v>
      </c>
      <c r="B138" s="54"/>
      <c r="C138" s="54" t="s">
        <v>99</v>
      </c>
      <c r="D138" s="55" t="s">
        <v>182</v>
      </c>
      <c r="E138" s="55" t="s">
        <v>511</v>
      </c>
      <c r="F138" s="56">
        <f>(45*'Montos de Referencia'!$C$7+1*'Montos de Referencia'!$C$10)*'Montos de Referencia'!I3</f>
        <v>251585000</v>
      </c>
      <c r="G138" s="63" t="s">
        <v>512</v>
      </c>
      <c r="H138" s="53" t="s">
        <v>79</v>
      </c>
      <c r="I138" s="34">
        <f>VLOOKUP(H138,'Criterios y Ponderaciones'!$D$48:$J$53,7,0)</f>
        <v>1</v>
      </c>
      <c r="J138" s="53" t="s">
        <v>83</v>
      </c>
      <c r="K138" s="34">
        <f>VLOOKUP(J138,'Criterios y Ponderaciones'!$E$48:$J$52,6,0)</f>
        <v>1</v>
      </c>
      <c r="L138" s="53" t="s">
        <v>49</v>
      </c>
      <c r="M138" s="34">
        <f>VLOOKUP(L138,'Criterios y Ponderaciones'!$F$53:$G$54,2,0)</f>
        <v>0</v>
      </c>
      <c r="N138" s="53" t="s">
        <v>84</v>
      </c>
      <c r="O138" s="34">
        <f>VLOOKUP(N138,'Criterios y Ponderaciones'!$G$48:$J$52,4,0)</f>
        <v>0</v>
      </c>
      <c r="P138" s="53" t="s">
        <v>41</v>
      </c>
      <c r="Q138" s="34">
        <f>VLOOKUP(P138,'Criterios y Ponderaciones'!$F$53:$G$54,2,0)</f>
        <v>1</v>
      </c>
      <c r="R138" s="58">
        <f t="shared" si="4"/>
        <v>536.36363636363637</v>
      </c>
      <c r="S138" s="68">
        <v>2020</v>
      </c>
      <c r="T138" s="57">
        <v>43281</v>
      </c>
      <c r="U138" s="57">
        <f>+T138+720</f>
        <v>44001</v>
      </c>
      <c r="V138" s="54" t="s">
        <v>226</v>
      </c>
      <c r="W138" s="54" t="s">
        <v>8</v>
      </c>
      <c r="X138" s="54" t="s">
        <v>12</v>
      </c>
      <c r="Y138" s="54" t="s">
        <v>12</v>
      </c>
      <c r="Z138" s="54" t="s">
        <v>12</v>
      </c>
      <c r="AA138" s="54" t="s">
        <v>17</v>
      </c>
      <c r="AB138" s="54" t="s">
        <v>27</v>
      </c>
      <c r="AC138" s="54" t="s">
        <v>12</v>
      </c>
      <c r="AD138" s="54" t="s">
        <v>12</v>
      </c>
      <c r="AE138" s="55" t="s">
        <v>641</v>
      </c>
      <c r="AF138" s="55" t="s">
        <v>557</v>
      </c>
    </row>
    <row r="139" spans="1:34" ht="57" customHeight="1" x14ac:dyDescent="0.25">
      <c r="A139" s="54" t="s">
        <v>592</v>
      </c>
      <c r="B139" s="54"/>
      <c r="C139" s="54" t="s">
        <v>99</v>
      </c>
      <c r="D139" s="55" t="s">
        <v>145</v>
      </c>
      <c r="E139" s="55" t="s">
        <v>146</v>
      </c>
      <c r="F139" s="56">
        <f>(4*'Montos de Referencia'!$C$9+23*'Montos de Referencia'!$C$6+1*'Montos de Referencia'!$C$10)*'Montos de Referencia'!$I$3</f>
        <v>203220600</v>
      </c>
      <c r="G139" s="63" t="s">
        <v>239</v>
      </c>
      <c r="H139" s="53" t="s">
        <v>79</v>
      </c>
      <c r="I139" s="34">
        <f>VLOOKUP(H139,'Criterios y Ponderaciones'!$D$48:$J$53,7,0)</f>
        <v>1</v>
      </c>
      <c r="J139" s="53" t="s">
        <v>82</v>
      </c>
      <c r="K139" s="34">
        <f>VLOOKUP(J139,'Criterios y Ponderaciones'!$E$48:$J$52,6,0)</f>
        <v>0.75</v>
      </c>
      <c r="L139" s="53" t="s">
        <v>49</v>
      </c>
      <c r="M139" s="34">
        <f>VLOOKUP(L139,'Criterios y Ponderaciones'!$F$53:$G$54,2,0)</f>
        <v>0</v>
      </c>
      <c r="N139" s="53" t="s">
        <v>84</v>
      </c>
      <c r="O139" s="34">
        <f>VLOOKUP(N139,'Criterios y Ponderaciones'!$G$48:$J$52,4,0)</f>
        <v>0</v>
      </c>
      <c r="P139" s="53" t="s">
        <v>41</v>
      </c>
      <c r="Q139" s="34">
        <f>VLOOKUP(P139,'Criterios y Ponderaciones'!$F$53:$G$54,2,0)</f>
        <v>1</v>
      </c>
      <c r="R139" s="58">
        <f t="shared" si="4"/>
        <v>489.77272727272725</v>
      </c>
      <c r="S139" s="68">
        <v>2020</v>
      </c>
      <c r="T139" s="57">
        <v>43466</v>
      </c>
      <c r="U139" s="57">
        <f>+T139+540</f>
        <v>44006</v>
      </c>
      <c r="V139" s="54" t="s">
        <v>226</v>
      </c>
      <c r="W139" s="54" t="s">
        <v>8</v>
      </c>
      <c r="X139" s="54" t="s">
        <v>12</v>
      </c>
      <c r="Y139" s="54" t="s">
        <v>12</v>
      </c>
      <c r="Z139" s="54" t="s">
        <v>12</v>
      </c>
      <c r="AA139" s="54" t="s">
        <v>17</v>
      </c>
      <c r="AB139" s="54" t="s">
        <v>27</v>
      </c>
      <c r="AC139" s="54" t="s">
        <v>12</v>
      </c>
      <c r="AD139" s="54" t="s">
        <v>12</v>
      </c>
      <c r="AE139" s="55" t="s">
        <v>613</v>
      </c>
      <c r="AF139" s="55" t="s">
        <v>525</v>
      </c>
    </row>
    <row r="140" spans="1:34" ht="98.25" customHeight="1" x14ac:dyDescent="0.25">
      <c r="A140" s="54" t="s">
        <v>592</v>
      </c>
      <c r="B140" s="54"/>
      <c r="C140" s="54" t="s">
        <v>99</v>
      </c>
      <c r="D140" s="55" t="s">
        <v>185</v>
      </c>
      <c r="E140" s="55" t="s">
        <v>267</v>
      </c>
      <c r="F140" s="56">
        <f>(150*'Montos de Referencia'!$C$6+1*'Montos de Referencia'!$C$10)*'Montos de Referencia'!$I$3</f>
        <v>623330000</v>
      </c>
      <c r="G140" s="63" t="s">
        <v>665</v>
      </c>
      <c r="H140" s="53" t="s">
        <v>78</v>
      </c>
      <c r="I140" s="34">
        <f>VLOOKUP(H140,'Criterios y Ponderaciones'!$D$48:$J$53,7,0)</f>
        <v>0.75</v>
      </c>
      <c r="J140" s="53" t="s">
        <v>83</v>
      </c>
      <c r="K140" s="34">
        <f>VLOOKUP(J140,'Criterios y Ponderaciones'!$E$48:$J$52,6,0)</f>
        <v>1</v>
      </c>
      <c r="L140" s="53" t="s">
        <v>49</v>
      </c>
      <c r="M140" s="34">
        <f>VLOOKUP(L140,'Criterios y Ponderaciones'!$F$53:$G$54,2,0)</f>
        <v>0</v>
      </c>
      <c r="N140" s="53" t="s">
        <v>84</v>
      </c>
      <c r="O140" s="34">
        <f>VLOOKUP(N140,'Criterios y Ponderaciones'!$G$48:$J$52,4,0)</f>
        <v>0</v>
      </c>
      <c r="P140" s="53" t="s">
        <v>41</v>
      </c>
      <c r="Q140" s="34">
        <f>VLOOKUP(P140,'Criterios y Ponderaciones'!$F$53:$G$54,2,0)</f>
        <v>1</v>
      </c>
      <c r="R140" s="58">
        <f t="shared" si="4"/>
        <v>484.09090909090901</v>
      </c>
      <c r="S140" s="68">
        <v>2020</v>
      </c>
      <c r="T140" s="57">
        <v>43466</v>
      </c>
      <c r="U140" s="57">
        <f>+T140+720</f>
        <v>44186</v>
      </c>
      <c r="V140" s="54" t="s">
        <v>226</v>
      </c>
      <c r="W140" s="54" t="s">
        <v>8</v>
      </c>
      <c r="X140" s="54" t="s">
        <v>12</v>
      </c>
      <c r="Y140" s="54" t="s">
        <v>12</v>
      </c>
      <c r="Z140" s="54" t="s">
        <v>12</v>
      </c>
      <c r="AA140" s="54" t="s">
        <v>17</v>
      </c>
      <c r="AB140" s="54" t="s">
        <v>27</v>
      </c>
      <c r="AC140" s="54" t="s">
        <v>12</v>
      </c>
      <c r="AD140" s="54" t="s">
        <v>12</v>
      </c>
      <c r="AE140" s="55" t="s">
        <v>626</v>
      </c>
      <c r="AF140" s="55" t="s">
        <v>538</v>
      </c>
    </row>
    <row r="141" spans="1:34" ht="74.25" customHeight="1" x14ac:dyDescent="0.25">
      <c r="A141" s="54" t="s">
        <v>592</v>
      </c>
      <c r="B141" s="54"/>
      <c r="C141" s="54" t="s">
        <v>99</v>
      </c>
      <c r="D141" s="55" t="s">
        <v>183</v>
      </c>
      <c r="E141" s="55" t="s">
        <v>184</v>
      </c>
      <c r="F141" s="56">
        <f>('Montos de Referencia'!$C$4*'Montos de Referencia'!$I$3)*1.02</f>
        <v>169290420</v>
      </c>
      <c r="G141" s="63" t="s">
        <v>670</v>
      </c>
      <c r="H141" s="53" t="s">
        <v>78</v>
      </c>
      <c r="I141" s="34">
        <f>VLOOKUP(H141,'Criterios y Ponderaciones'!$D$48:$J$53,7,0)</f>
        <v>0.75</v>
      </c>
      <c r="J141" s="53" t="s">
        <v>83</v>
      </c>
      <c r="K141" s="34">
        <f>VLOOKUP(J141,'Criterios y Ponderaciones'!$E$48:$J$52,6,0)</f>
        <v>1</v>
      </c>
      <c r="L141" s="53" t="s">
        <v>49</v>
      </c>
      <c r="M141" s="34">
        <f>VLOOKUP(L141,'Criterios y Ponderaciones'!$F$53:$G$54,2,0)</f>
        <v>0</v>
      </c>
      <c r="N141" s="53" t="s">
        <v>84</v>
      </c>
      <c r="O141" s="34">
        <f>VLOOKUP(N141,'Criterios y Ponderaciones'!$G$48:$J$52,4,0)</f>
        <v>0</v>
      </c>
      <c r="P141" s="53" t="s">
        <v>41</v>
      </c>
      <c r="Q141" s="34">
        <f>VLOOKUP(P141,'Criterios y Ponderaciones'!$F$53:$G$54,2,0)</f>
        <v>1</v>
      </c>
      <c r="R141" s="58">
        <f t="shared" si="4"/>
        <v>484.09090909090901</v>
      </c>
      <c r="S141" s="68">
        <v>2020</v>
      </c>
      <c r="T141" s="57">
        <v>43646</v>
      </c>
      <c r="U141" s="57">
        <f>+T141+540</f>
        <v>44186</v>
      </c>
      <c r="V141" s="54" t="s">
        <v>226</v>
      </c>
      <c r="W141" s="54" t="s">
        <v>8</v>
      </c>
      <c r="X141" s="54" t="s">
        <v>12</v>
      </c>
      <c r="Y141" s="54" t="s">
        <v>12</v>
      </c>
      <c r="Z141" s="54" t="s">
        <v>12</v>
      </c>
      <c r="AA141" s="54" t="s">
        <v>27</v>
      </c>
      <c r="AB141" s="54" t="s">
        <v>17</v>
      </c>
      <c r="AC141" s="54" t="s">
        <v>12</v>
      </c>
      <c r="AD141" s="54" t="s">
        <v>12</v>
      </c>
      <c r="AE141" s="55" t="s">
        <v>626</v>
      </c>
      <c r="AF141" s="55" t="s">
        <v>538</v>
      </c>
    </row>
    <row r="142" spans="1:34" ht="75" x14ac:dyDescent="0.25">
      <c r="A142" s="54" t="s">
        <v>592</v>
      </c>
      <c r="B142" s="54"/>
      <c r="C142" s="54" t="s">
        <v>99</v>
      </c>
      <c r="D142" s="55" t="s">
        <v>147</v>
      </c>
      <c r="E142" s="55" t="s">
        <v>148</v>
      </c>
      <c r="F142" s="56">
        <f>('Montos de Referencia'!$C$3*'Montos de Referencia'!$I$3)*1.22</f>
        <v>166752040</v>
      </c>
      <c r="G142" s="63" t="s">
        <v>497</v>
      </c>
      <c r="H142" s="53" t="s">
        <v>79</v>
      </c>
      <c r="I142" s="34">
        <f>VLOOKUP(H142,'Criterios y Ponderaciones'!$D$48:$J$53,7,0)</f>
        <v>1</v>
      </c>
      <c r="J142" s="53" t="s">
        <v>81</v>
      </c>
      <c r="K142" s="34">
        <f>VLOOKUP(J142,'Criterios y Ponderaciones'!$E$48:$J$52,6,0)</f>
        <v>0.5</v>
      </c>
      <c r="L142" s="53" t="s">
        <v>49</v>
      </c>
      <c r="M142" s="34">
        <f>VLOOKUP(L142,'Criterios y Ponderaciones'!$F$53:$G$54,2,0)</f>
        <v>0</v>
      </c>
      <c r="N142" s="53" t="s">
        <v>84</v>
      </c>
      <c r="O142" s="34">
        <f>VLOOKUP(N142,'Criterios y Ponderaciones'!$G$48:$J$52,4,0)</f>
        <v>0</v>
      </c>
      <c r="P142" s="53" t="s">
        <v>41</v>
      </c>
      <c r="Q142" s="34">
        <f>VLOOKUP(P142,'Criterios y Ponderaciones'!$F$53:$G$54,2,0)</f>
        <v>1</v>
      </c>
      <c r="R142" s="58">
        <f t="shared" si="4"/>
        <v>443.18181818181813</v>
      </c>
      <c r="S142" s="68">
        <v>2020</v>
      </c>
      <c r="T142" s="57">
        <v>43466</v>
      </c>
      <c r="U142" s="57">
        <f>+T142+540</f>
        <v>44006</v>
      </c>
      <c r="V142" s="54" t="s">
        <v>226</v>
      </c>
      <c r="W142" s="54" t="s">
        <v>8</v>
      </c>
      <c r="X142" s="54" t="s">
        <v>12</v>
      </c>
      <c r="Y142" s="54" t="s">
        <v>12</v>
      </c>
      <c r="Z142" s="54" t="s">
        <v>12</v>
      </c>
      <c r="AA142" s="54" t="s">
        <v>27</v>
      </c>
      <c r="AB142" s="54" t="s">
        <v>17</v>
      </c>
      <c r="AC142" s="54" t="s">
        <v>12</v>
      </c>
      <c r="AD142" s="54" t="s">
        <v>12</v>
      </c>
      <c r="AE142" s="55" t="s">
        <v>615</v>
      </c>
      <c r="AF142" s="55" t="s">
        <v>526</v>
      </c>
    </row>
    <row r="143" spans="1:34" ht="41.25" customHeight="1" x14ac:dyDescent="0.25">
      <c r="A143" s="54" t="s">
        <v>592</v>
      </c>
      <c r="B143" s="54"/>
      <c r="C143" s="54" t="s">
        <v>99</v>
      </c>
      <c r="D143" s="55" t="s">
        <v>149</v>
      </c>
      <c r="E143" s="55" t="s">
        <v>263</v>
      </c>
      <c r="F143" s="56">
        <f>(5.5*'Montos de Referencia'!$C$9+2.5*'Montos de Referencia'!$C$6+1*'Montos de Referencia'!$C$10)*'Montos de Referencia'!$I$3</f>
        <v>155682300</v>
      </c>
      <c r="G143" s="63" t="s">
        <v>141</v>
      </c>
      <c r="H143" s="53" t="s">
        <v>79</v>
      </c>
      <c r="I143" s="34">
        <f>VLOOKUP(H143,'Criterios y Ponderaciones'!$D$48:$J$53,7,0)</f>
        <v>1</v>
      </c>
      <c r="J143" s="53" t="s">
        <v>81</v>
      </c>
      <c r="K143" s="34">
        <f>VLOOKUP(J143,'Criterios y Ponderaciones'!$E$48:$J$52,6,0)</f>
        <v>0.5</v>
      </c>
      <c r="L143" s="53" t="s">
        <v>49</v>
      </c>
      <c r="M143" s="34">
        <f>VLOOKUP(L143,'Criterios y Ponderaciones'!$F$53:$G$54,2,0)</f>
        <v>0</v>
      </c>
      <c r="N143" s="53" t="s">
        <v>84</v>
      </c>
      <c r="O143" s="34">
        <f>VLOOKUP(N143,'Criterios y Ponderaciones'!$G$48:$J$52,4,0)</f>
        <v>0</v>
      </c>
      <c r="P143" s="53" t="s">
        <v>41</v>
      </c>
      <c r="Q143" s="34">
        <f>VLOOKUP(P143,'Criterios y Ponderaciones'!$F$53:$G$54,2,0)</f>
        <v>1</v>
      </c>
      <c r="R143" s="58">
        <f t="shared" si="4"/>
        <v>443.18181818181813</v>
      </c>
      <c r="S143" s="68">
        <v>2020</v>
      </c>
      <c r="T143" s="57">
        <v>43466</v>
      </c>
      <c r="U143" s="57">
        <f>+T143+540</f>
        <v>44006</v>
      </c>
      <c r="V143" s="54" t="s">
        <v>226</v>
      </c>
      <c r="W143" s="54" t="s">
        <v>8</v>
      </c>
      <c r="X143" s="54" t="s">
        <v>12</v>
      </c>
      <c r="Y143" s="54" t="s">
        <v>12</v>
      </c>
      <c r="Z143" s="54" t="s">
        <v>12</v>
      </c>
      <c r="AA143" s="54" t="s">
        <v>17</v>
      </c>
      <c r="AB143" s="54" t="s">
        <v>27</v>
      </c>
      <c r="AC143" s="54" t="s">
        <v>12</v>
      </c>
      <c r="AD143" s="54" t="s">
        <v>12</v>
      </c>
      <c r="AE143" s="55" t="s">
        <v>615</v>
      </c>
      <c r="AF143" s="55" t="s">
        <v>526</v>
      </c>
    </row>
    <row r="144" spans="1:34" ht="39" customHeight="1" x14ac:dyDescent="0.25">
      <c r="A144" s="54" t="s">
        <v>592</v>
      </c>
      <c r="B144" s="54"/>
      <c r="C144" s="54" t="s">
        <v>99</v>
      </c>
      <c r="D144" s="55" t="s">
        <v>150</v>
      </c>
      <c r="E144" s="55" t="s">
        <v>277</v>
      </c>
      <c r="F144" s="56">
        <f>(4*'Montos de Referencia'!$C$9+6*'Montos de Referencia'!$C$6+1*'Montos de Referencia'!$C$10)*'Montos de Referencia'!$I$3</f>
        <v>134278800</v>
      </c>
      <c r="G144" s="63" t="s">
        <v>141</v>
      </c>
      <c r="H144" s="53" t="s">
        <v>79</v>
      </c>
      <c r="I144" s="34">
        <f>VLOOKUP(H144,'Criterios y Ponderaciones'!$D$48:$J$53,7,0)</f>
        <v>1</v>
      </c>
      <c r="J144" s="53" t="s">
        <v>81</v>
      </c>
      <c r="K144" s="34">
        <f>VLOOKUP(J144,'Criterios y Ponderaciones'!$E$48:$J$52,6,0)</f>
        <v>0.5</v>
      </c>
      <c r="L144" s="53" t="s">
        <v>49</v>
      </c>
      <c r="M144" s="34">
        <f>VLOOKUP(L144,'Criterios y Ponderaciones'!$F$53:$G$54,2,0)</f>
        <v>0</v>
      </c>
      <c r="N144" s="53" t="s">
        <v>84</v>
      </c>
      <c r="O144" s="34">
        <f>VLOOKUP(N144,'Criterios y Ponderaciones'!$G$48:$J$52,4,0)</f>
        <v>0</v>
      </c>
      <c r="P144" s="53" t="s">
        <v>41</v>
      </c>
      <c r="Q144" s="34">
        <f>VLOOKUP(P144,'Criterios y Ponderaciones'!$F$53:$G$54,2,0)</f>
        <v>1</v>
      </c>
      <c r="R144" s="58">
        <f t="shared" si="4"/>
        <v>443.18181818181813</v>
      </c>
      <c r="S144" s="68">
        <v>2020</v>
      </c>
      <c r="T144" s="57">
        <v>43646</v>
      </c>
      <c r="U144" s="57">
        <f>+T144+540</f>
        <v>44186</v>
      </c>
      <c r="V144" s="54" t="s">
        <v>226</v>
      </c>
      <c r="W144" s="54" t="s">
        <v>8</v>
      </c>
      <c r="X144" s="54" t="s">
        <v>12</v>
      </c>
      <c r="Y144" s="54" t="s">
        <v>12</v>
      </c>
      <c r="Z144" s="54" t="s">
        <v>12</v>
      </c>
      <c r="AA144" s="54" t="s">
        <v>17</v>
      </c>
      <c r="AB144" s="54" t="s">
        <v>27</v>
      </c>
      <c r="AC144" s="54" t="s">
        <v>12</v>
      </c>
      <c r="AD144" s="54" t="s">
        <v>12</v>
      </c>
      <c r="AE144" s="55" t="s">
        <v>615</v>
      </c>
      <c r="AF144" s="55" t="s">
        <v>526</v>
      </c>
    </row>
    <row r="145" spans="1:34" ht="39.75" customHeight="1" x14ac:dyDescent="0.25">
      <c r="A145" s="54" t="s">
        <v>592</v>
      </c>
      <c r="B145" s="54"/>
      <c r="C145" s="54" t="s">
        <v>99</v>
      </c>
      <c r="D145" s="55" t="s">
        <v>432</v>
      </c>
      <c r="E145" s="55" t="s">
        <v>433</v>
      </c>
      <c r="F145" s="56">
        <f>('Montos de Referencia'!$C$4*'Montos de Referencia'!$I$3)*1.03</f>
        <v>170950130</v>
      </c>
      <c r="G145" s="62">
        <v>0</v>
      </c>
      <c r="H145" s="53" t="s">
        <v>79</v>
      </c>
      <c r="I145" s="34">
        <f>VLOOKUP(H145,'Criterios y Ponderaciones'!$D$48:$J$53,7,0)</f>
        <v>1</v>
      </c>
      <c r="J145" s="53" t="s">
        <v>81</v>
      </c>
      <c r="K145" s="34">
        <f>VLOOKUP(J145,'Criterios y Ponderaciones'!$E$48:$J$52,6,0)</f>
        <v>0.5</v>
      </c>
      <c r="L145" s="53" t="s">
        <v>49</v>
      </c>
      <c r="M145" s="34">
        <f>VLOOKUP(L145,'Criterios y Ponderaciones'!$F$53:$G$54,2,0)</f>
        <v>0</v>
      </c>
      <c r="N145" s="53" t="s">
        <v>84</v>
      </c>
      <c r="O145" s="34">
        <f>VLOOKUP(N145,'Criterios y Ponderaciones'!$G$48:$J$52,4,0)</f>
        <v>0</v>
      </c>
      <c r="P145" s="53" t="s">
        <v>41</v>
      </c>
      <c r="Q145" s="34">
        <f>VLOOKUP(P145,'Criterios y Ponderaciones'!$F$53:$G$54,2,0)</f>
        <v>1</v>
      </c>
      <c r="R145" s="58">
        <f t="shared" si="4"/>
        <v>443.18181818181813</v>
      </c>
      <c r="S145" s="68">
        <v>2020</v>
      </c>
      <c r="T145" s="57">
        <f>U145-540</f>
        <v>43626</v>
      </c>
      <c r="U145" s="57">
        <v>44166</v>
      </c>
      <c r="V145" s="54" t="s">
        <v>446</v>
      </c>
      <c r="W145" s="54" t="s">
        <v>12</v>
      </c>
      <c r="X145" s="54" t="s">
        <v>12</v>
      </c>
      <c r="Y145" s="54" t="s">
        <v>12</v>
      </c>
      <c r="Z145" s="54" t="s">
        <v>12</v>
      </c>
      <c r="AA145" s="54"/>
      <c r="AB145" s="54" t="s">
        <v>17</v>
      </c>
      <c r="AC145" s="54" t="s">
        <v>12</v>
      </c>
      <c r="AD145" s="54" t="s">
        <v>12</v>
      </c>
      <c r="AE145" s="55" t="s">
        <v>480</v>
      </c>
      <c r="AF145" s="55" t="s">
        <v>481</v>
      </c>
    </row>
    <row r="146" spans="1:34" ht="90" x14ac:dyDescent="0.25">
      <c r="A146" s="54" t="s">
        <v>592</v>
      </c>
      <c r="B146" s="54"/>
      <c r="C146" s="54" t="s">
        <v>99</v>
      </c>
      <c r="D146" s="55" t="s">
        <v>415</v>
      </c>
      <c r="E146" s="55" t="s">
        <v>416</v>
      </c>
      <c r="F146" s="56">
        <f>60000000*1.025+'Montos de Referencia'!$C$5*'Montos de Referencia'!$I$3</f>
        <v>81026000</v>
      </c>
      <c r="G146" s="62">
        <v>0</v>
      </c>
      <c r="H146" s="53" t="s">
        <v>76</v>
      </c>
      <c r="I146" s="34">
        <f>VLOOKUP(H146,'Criterios y Ponderaciones'!$D$48:$J$53,7,0)</f>
        <v>0.25</v>
      </c>
      <c r="J146" s="53" t="s">
        <v>83</v>
      </c>
      <c r="K146" s="34">
        <f>VLOOKUP(J146,'Criterios y Ponderaciones'!$E$48:$J$52,6,0)</f>
        <v>1</v>
      </c>
      <c r="L146" s="53" t="s">
        <v>49</v>
      </c>
      <c r="M146" s="34">
        <f>VLOOKUP(L146,'Criterios y Ponderaciones'!$F$53:$G$54,2,0)</f>
        <v>0</v>
      </c>
      <c r="N146" s="53" t="s">
        <v>84</v>
      </c>
      <c r="O146" s="34">
        <f>VLOOKUP(N146,'Criterios y Ponderaciones'!$G$48:$J$52,4,0)</f>
        <v>0</v>
      </c>
      <c r="P146" s="53" t="s">
        <v>41</v>
      </c>
      <c r="Q146" s="34">
        <f>VLOOKUP(P146,'Criterios y Ponderaciones'!$F$53:$G$54,2,0)</f>
        <v>1</v>
      </c>
      <c r="R146" s="58">
        <f t="shared" si="4"/>
        <v>379.5454545454545</v>
      </c>
      <c r="S146" s="68">
        <v>2020</v>
      </c>
      <c r="T146" s="57">
        <f>U146-540</f>
        <v>43626</v>
      </c>
      <c r="U146" s="57">
        <v>44166</v>
      </c>
      <c r="V146" s="54" t="s">
        <v>446</v>
      </c>
      <c r="W146" s="54" t="s">
        <v>12</v>
      </c>
      <c r="X146" s="54" t="s">
        <v>12</v>
      </c>
      <c r="Y146" s="54" t="s">
        <v>12</v>
      </c>
      <c r="Z146" s="54" t="s">
        <v>12</v>
      </c>
      <c r="AA146" s="54"/>
      <c r="AB146" s="54" t="s">
        <v>17</v>
      </c>
      <c r="AC146" s="54" t="s">
        <v>12</v>
      </c>
      <c r="AD146" s="54" t="s">
        <v>12</v>
      </c>
      <c r="AE146" s="55" t="s">
        <v>457</v>
      </c>
      <c r="AF146" s="55" t="s">
        <v>458</v>
      </c>
      <c r="AH146" s="4" t="s">
        <v>489</v>
      </c>
    </row>
    <row r="147" spans="1:34" ht="30" x14ac:dyDescent="0.25">
      <c r="A147" s="54" t="s">
        <v>592</v>
      </c>
      <c r="B147" s="54"/>
      <c r="C147" s="54" t="s">
        <v>99</v>
      </c>
      <c r="D147" s="55" t="s">
        <v>425</v>
      </c>
      <c r="E147" s="55" t="s">
        <v>426</v>
      </c>
      <c r="F147" s="56">
        <f>('Montos de Referencia'!$C$4*'Montos de Referencia'!$I$3)*1.035</f>
        <v>171779985</v>
      </c>
      <c r="G147" s="62">
        <v>0</v>
      </c>
      <c r="H147" s="53" t="s">
        <v>76</v>
      </c>
      <c r="I147" s="34">
        <f>VLOOKUP(H147,'Criterios y Ponderaciones'!$D$48:$J$53,7,0)</f>
        <v>0.25</v>
      </c>
      <c r="J147" s="53" t="s">
        <v>83</v>
      </c>
      <c r="K147" s="34">
        <f>VLOOKUP(J147,'Criterios y Ponderaciones'!$E$48:$J$52,6,0)</f>
        <v>1</v>
      </c>
      <c r="L147" s="53" t="s">
        <v>49</v>
      </c>
      <c r="M147" s="34">
        <f>VLOOKUP(L147,'Criterios y Ponderaciones'!$F$53:$G$54,2,0)</f>
        <v>0</v>
      </c>
      <c r="N147" s="53" t="s">
        <v>84</v>
      </c>
      <c r="O147" s="34">
        <f>VLOOKUP(N147,'Criterios y Ponderaciones'!$G$48:$J$52,4,0)</f>
        <v>0</v>
      </c>
      <c r="P147" s="53" t="s">
        <v>41</v>
      </c>
      <c r="Q147" s="34">
        <f>VLOOKUP(P147,'Criterios y Ponderaciones'!$F$53:$G$54,2,0)</f>
        <v>1</v>
      </c>
      <c r="R147" s="58">
        <f t="shared" si="4"/>
        <v>379.5454545454545</v>
      </c>
      <c r="S147" s="68">
        <v>2020</v>
      </c>
      <c r="T147" s="57">
        <f>U147-540</f>
        <v>43626</v>
      </c>
      <c r="U147" s="57">
        <v>44166</v>
      </c>
      <c r="V147" s="54" t="s">
        <v>446</v>
      </c>
      <c r="W147" s="54" t="s">
        <v>12</v>
      </c>
      <c r="X147" s="54" t="s">
        <v>12</v>
      </c>
      <c r="Y147" s="54" t="s">
        <v>12</v>
      </c>
      <c r="Z147" s="54" t="s">
        <v>12</v>
      </c>
      <c r="AA147" s="54"/>
      <c r="AB147" s="54" t="s">
        <v>17</v>
      </c>
      <c r="AC147" s="54" t="s">
        <v>12</v>
      </c>
      <c r="AD147" s="54" t="s">
        <v>12</v>
      </c>
      <c r="AE147" s="55" t="s">
        <v>470</v>
      </c>
      <c r="AF147" s="55" t="s">
        <v>471</v>
      </c>
    </row>
    <row r="148" spans="1:34" ht="30.75" thickBot="1" x14ac:dyDescent="0.3">
      <c r="A148" s="54" t="s">
        <v>592</v>
      </c>
      <c r="B148" s="54"/>
      <c r="C148" s="54" t="s">
        <v>99</v>
      </c>
      <c r="D148" s="55" t="s">
        <v>421</v>
      </c>
      <c r="E148" s="55" t="s">
        <v>428</v>
      </c>
      <c r="F148" s="56">
        <f>6000000*1.06+'Montos de Referencia'!$C$5*'Montos de Referencia'!$I$3</f>
        <v>25886000</v>
      </c>
      <c r="G148" s="62">
        <v>0</v>
      </c>
      <c r="H148" s="53" t="s">
        <v>77</v>
      </c>
      <c r="I148" s="34">
        <f>VLOOKUP(H148,'Criterios y Ponderaciones'!$D$48:$J$53,7,0)</f>
        <v>0.5</v>
      </c>
      <c r="J148" s="53" t="s">
        <v>80</v>
      </c>
      <c r="K148" s="34">
        <f>VLOOKUP(J148,'Criterios y Ponderaciones'!$E$48:$J$52,6,0)</f>
        <v>0.25</v>
      </c>
      <c r="L148" s="53" t="s">
        <v>49</v>
      </c>
      <c r="M148" s="34">
        <f>VLOOKUP(L148,'Criterios y Ponderaciones'!$F$53:$G$54,2,0)</f>
        <v>0</v>
      </c>
      <c r="N148" s="53" t="s">
        <v>84</v>
      </c>
      <c r="O148" s="34">
        <f>VLOOKUP(N148,'Criterios y Ponderaciones'!$G$48:$J$52,4,0)</f>
        <v>0</v>
      </c>
      <c r="P148" s="53" t="s">
        <v>41</v>
      </c>
      <c r="Q148" s="34">
        <f>VLOOKUP(P148,'Criterios y Ponderaciones'!$F$53:$G$54,2,0)</f>
        <v>1</v>
      </c>
      <c r="R148" s="58">
        <f t="shared" si="4"/>
        <v>292.0454545454545</v>
      </c>
      <c r="S148" s="68">
        <v>2020</v>
      </c>
      <c r="T148" s="57">
        <f>U148-540</f>
        <v>43626</v>
      </c>
      <c r="U148" s="57">
        <v>44166</v>
      </c>
      <c r="V148" s="54" t="s">
        <v>446</v>
      </c>
      <c r="W148" s="54" t="s">
        <v>12</v>
      </c>
      <c r="X148" s="54" t="s">
        <v>12</v>
      </c>
      <c r="Y148" s="54" t="s">
        <v>12</v>
      </c>
      <c r="Z148" s="54" t="s">
        <v>12</v>
      </c>
      <c r="AA148" s="54"/>
      <c r="AB148" s="54" t="s">
        <v>17</v>
      </c>
      <c r="AC148" s="54" t="s">
        <v>12</v>
      </c>
      <c r="AD148" s="54" t="s">
        <v>12</v>
      </c>
      <c r="AE148" s="55" t="s">
        <v>475</v>
      </c>
      <c r="AF148" s="55" t="s">
        <v>476</v>
      </c>
    </row>
    <row r="149" spans="1:34" s="75" customFormat="1" ht="28.5" customHeight="1" thickBot="1" x14ac:dyDescent="0.3">
      <c r="A149" s="96"/>
      <c r="B149" s="97"/>
      <c r="C149" s="97"/>
      <c r="D149" s="98"/>
      <c r="E149" s="144" t="s">
        <v>693</v>
      </c>
      <c r="F149" s="116">
        <f>SUM(F127:F148)</f>
        <v>3580074108.7862501</v>
      </c>
      <c r="G149" s="99"/>
      <c r="H149" s="100"/>
      <c r="I149" s="101"/>
      <c r="J149" s="100"/>
      <c r="K149" s="101"/>
      <c r="L149" s="100"/>
      <c r="M149" s="101"/>
      <c r="N149" s="100"/>
      <c r="O149" s="101"/>
      <c r="P149" s="100"/>
      <c r="Q149" s="101"/>
      <c r="R149" s="102"/>
      <c r="S149" s="103"/>
      <c r="T149" s="104"/>
      <c r="U149" s="104"/>
      <c r="V149" s="97"/>
      <c r="W149" s="97"/>
      <c r="X149" s="97"/>
      <c r="Y149" s="97"/>
      <c r="Z149" s="97"/>
      <c r="AA149" s="97"/>
      <c r="AB149" s="97"/>
      <c r="AC149" s="97"/>
      <c r="AD149" s="97"/>
      <c r="AE149" s="98"/>
      <c r="AF149" s="105"/>
      <c r="AH149" s="76"/>
    </row>
    <row r="150" spans="1:34" s="75" customFormat="1" ht="28.5" customHeight="1" thickBot="1" x14ac:dyDescent="0.3">
      <c r="A150" s="106"/>
      <c r="B150" s="107"/>
      <c r="C150" s="107"/>
      <c r="D150" s="108"/>
      <c r="E150" s="108"/>
      <c r="F150" s="117">
        <f>+F149/'Montos de Referencia'!$I$3</f>
        <v>238353802.18283957</v>
      </c>
      <c r="G150" s="109"/>
      <c r="H150" s="110"/>
      <c r="I150" s="111"/>
      <c r="J150" s="110"/>
      <c r="K150" s="111"/>
      <c r="L150" s="110"/>
      <c r="M150" s="111"/>
      <c r="N150" s="110"/>
      <c r="O150" s="111"/>
      <c r="P150" s="110"/>
      <c r="Q150" s="111"/>
      <c r="R150" s="112"/>
      <c r="S150" s="113"/>
      <c r="T150" s="114"/>
      <c r="U150" s="114"/>
      <c r="V150" s="107"/>
      <c r="W150" s="107"/>
      <c r="X150" s="107"/>
      <c r="Y150" s="107"/>
      <c r="Z150" s="107"/>
      <c r="AA150" s="107"/>
      <c r="AB150" s="107"/>
      <c r="AC150" s="107"/>
      <c r="AD150" s="107"/>
      <c r="AE150" s="108"/>
      <c r="AF150" s="115"/>
      <c r="AH150" s="76"/>
    </row>
    <row r="151" spans="1:34" s="75" customFormat="1" ht="6.75" customHeight="1" x14ac:dyDescent="0.25">
      <c r="A151" s="79"/>
      <c r="B151" s="80"/>
      <c r="C151" s="80"/>
      <c r="D151" s="81"/>
      <c r="E151" s="81"/>
      <c r="F151" s="82"/>
      <c r="G151" s="83"/>
      <c r="H151" s="84"/>
      <c r="I151" s="85"/>
      <c r="J151" s="84"/>
      <c r="K151" s="85"/>
      <c r="L151" s="84"/>
      <c r="M151" s="85"/>
      <c r="N151" s="84"/>
      <c r="O151" s="85"/>
      <c r="P151" s="84"/>
      <c r="Q151" s="85"/>
      <c r="R151" s="86"/>
      <c r="S151" s="87"/>
      <c r="T151" s="88"/>
      <c r="U151" s="88"/>
      <c r="V151" s="80"/>
      <c r="W151" s="80"/>
      <c r="X151" s="80"/>
      <c r="Y151" s="80"/>
      <c r="Z151" s="80"/>
      <c r="AA151" s="80"/>
      <c r="AB151" s="80"/>
      <c r="AC151" s="80"/>
      <c r="AD151" s="80"/>
      <c r="AE151" s="81"/>
      <c r="AF151" s="89"/>
      <c r="AH151" s="76"/>
    </row>
    <row r="152" spans="1:34" s="73" customFormat="1" x14ac:dyDescent="0.25">
      <c r="A152" s="169" t="s">
        <v>593</v>
      </c>
      <c r="B152" s="169" t="s">
        <v>594</v>
      </c>
      <c r="C152" s="169" t="s">
        <v>32</v>
      </c>
      <c r="D152" s="169" t="s">
        <v>0</v>
      </c>
      <c r="E152" s="169" t="s">
        <v>1</v>
      </c>
      <c r="F152" s="169" t="s">
        <v>28</v>
      </c>
      <c r="G152" s="169" t="s">
        <v>31</v>
      </c>
      <c r="H152" s="169" t="s">
        <v>64</v>
      </c>
      <c r="I152" s="169"/>
      <c r="J152" s="169"/>
      <c r="K152" s="169"/>
      <c r="L152" s="169"/>
      <c r="M152" s="169"/>
      <c r="N152" s="169"/>
      <c r="O152" s="169"/>
      <c r="P152" s="169"/>
      <c r="Q152" s="169"/>
      <c r="R152" s="171" t="s">
        <v>70</v>
      </c>
      <c r="S152" s="169" t="s">
        <v>671</v>
      </c>
      <c r="T152" s="169" t="s">
        <v>605</v>
      </c>
      <c r="U152" s="169" t="s">
        <v>603</v>
      </c>
      <c r="V152" s="169" t="s">
        <v>25</v>
      </c>
      <c r="W152" s="140" t="s">
        <v>29</v>
      </c>
      <c r="X152" s="140"/>
      <c r="Y152" s="140"/>
      <c r="Z152" s="140"/>
      <c r="AA152" s="140"/>
      <c r="AB152" s="140"/>
      <c r="AC152" s="140"/>
      <c r="AD152" s="140"/>
      <c r="AE152" s="170" t="s">
        <v>89</v>
      </c>
      <c r="AF152" s="170"/>
      <c r="AH152" s="74"/>
    </row>
    <row r="153" spans="1:34" s="1" customFormat="1" x14ac:dyDescent="0.25">
      <c r="A153" s="169"/>
      <c r="B153" s="169"/>
      <c r="C153" s="169"/>
      <c r="D153" s="169"/>
      <c r="E153" s="169"/>
      <c r="F153" s="169"/>
      <c r="G153" s="169"/>
      <c r="H153" s="169" t="s">
        <v>65</v>
      </c>
      <c r="I153" s="169"/>
      <c r="J153" s="169" t="s">
        <v>66</v>
      </c>
      <c r="K153" s="169"/>
      <c r="L153" s="169" t="s">
        <v>67</v>
      </c>
      <c r="M153" s="169"/>
      <c r="N153" s="169" t="s">
        <v>68</v>
      </c>
      <c r="O153" s="169"/>
      <c r="P153" s="169" t="s">
        <v>69</v>
      </c>
      <c r="Q153" s="169"/>
      <c r="R153" s="171"/>
      <c r="S153" s="169"/>
      <c r="T153" s="169"/>
      <c r="U153" s="169"/>
      <c r="V153" s="169"/>
      <c r="W153" s="169" t="s">
        <v>2</v>
      </c>
      <c r="X153" s="170" t="s">
        <v>20</v>
      </c>
      <c r="Y153" s="170"/>
      <c r="Z153" s="169" t="s">
        <v>3</v>
      </c>
      <c r="AA153" s="169" t="s">
        <v>5</v>
      </c>
      <c r="AB153" s="169" t="s">
        <v>6</v>
      </c>
      <c r="AC153" s="169" t="s">
        <v>18</v>
      </c>
      <c r="AD153" s="169" t="s">
        <v>22</v>
      </c>
      <c r="AE153" s="169" t="s">
        <v>23</v>
      </c>
      <c r="AF153" s="169" t="s">
        <v>24</v>
      </c>
      <c r="AH153" s="4"/>
    </row>
    <row r="154" spans="1:34" ht="66" customHeight="1" x14ac:dyDescent="0.25">
      <c r="A154" s="169"/>
      <c r="B154" s="169"/>
      <c r="C154" s="169" t="s">
        <v>30</v>
      </c>
      <c r="D154" s="169"/>
      <c r="E154" s="169"/>
      <c r="F154" s="169"/>
      <c r="G154" s="169"/>
      <c r="H154" s="141" t="s">
        <v>104</v>
      </c>
      <c r="I154" s="141">
        <f>+'Criterios y Ponderaciones'!B171</f>
        <v>0</v>
      </c>
      <c r="J154" s="141" t="s">
        <v>689</v>
      </c>
      <c r="K154" s="141">
        <f>+'Criterios y Ponderaciones'!B172</f>
        <v>0</v>
      </c>
      <c r="L154" s="141" t="s">
        <v>106</v>
      </c>
      <c r="M154" s="141">
        <f>+'Criterios y Ponderaciones'!B173</f>
        <v>0</v>
      </c>
      <c r="N154" s="141" t="s">
        <v>107</v>
      </c>
      <c r="O154" s="141">
        <f>+'Criterios y Ponderaciones'!B174</f>
        <v>0</v>
      </c>
      <c r="P154" s="141" t="s">
        <v>108</v>
      </c>
      <c r="Q154" s="141">
        <f>+'Criterios y Ponderaciones'!B175</f>
        <v>0</v>
      </c>
      <c r="R154" s="171"/>
      <c r="S154" s="169"/>
      <c r="T154" s="169"/>
      <c r="U154" s="169"/>
      <c r="V154" s="169"/>
      <c r="W154" s="169"/>
      <c r="X154" s="142" t="s">
        <v>26</v>
      </c>
      <c r="Y154" s="143" t="s">
        <v>4</v>
      </c>
      <c r="Z154" s="169"/>
      <c r="AA154" s="169"/>
      <c r="AB154" s="169"/>
      <c r="AC154" s="169"/>
      <c r="AD154" s="169"/>
      <c r="AE154" s="169"/>
      <c r="AF154" s="169"/>
    </row>
    <row r="155" spans="1:34" ht="45" x14ac:dyDescent="0.25">
      <c r="A155" s="54" t="s">
        <v>592</v>
      </c>
      <c r="B155" s="54"/>
      <c r="C155" s="54" t="s">
        <v>98</v>
      </c>
      <c r="D155" s="55" t="s">
        <v>303</v>
      </c>
      <c r="E155" s="55" t="s">
        <v>304</v>
      </c>
      <c r="F155" s="56">
        <v>34225868.25</v>
      </c>
      <c r="G155" s="62"/>
      <c r="H155" s="53" t="s">
        <v>79</v>
      </c>
      <c r="I155" s="34">
        <f>VLOOKUP(H155,'Criterios y Ponderaciones'!$D$48:$J$53,7,0)</f>
        <v>1</v>
      </c>
      <c r="J155" s="53" t="s">
        <v>80</v>
      </c>
      <c r="K155" s="34">
        <f>VLOOKUP(J155,'Criterios y Ponderaciones'!$E$48:$J$52,6,0)</f>
        <v>0.25</v>
      </c>
      <c r="L155" s="53" t="s">
        <v>41</v>
      </c>
      <c r="M155" s="34">
        <f>VLOOKUP(L155,'Criterios y Ponderaciones'!$F$53:$G$54,2,0)</f>
        <v>1</v>
      </c>
      <c r="N155" s="53" t="s">
        <v>88</v>
      </c>
      <c r="O155" s="34">
        <f>VLOOKUP(N155,'Criterios y Ponderaciones'!$G$48:$J$52,4,0)</f>
        <v>1</v>
      </c>
      <c r="P155" s="53" t="s">
        <v>41</v>
      </c>
      <c r="Q155" s="34">
        <f>VLOOKUP(P155,'Criterios y Ponderaciones'!$F$53:$G$54,2,0)</f>
        <v>1</v>
      </c>
      <c r="R155" s="58">
        <f t="shared" si="4"/>
        <v>860.22727272727263</v>
      </c>
      <c r="S155" s="68">
        <v>2021</v>
      </c>
      <c r="T155" s="57">
        <v>44197</v>
      </c>
      <c r="U155" s="57">
        <v>44561</v>
      </c>
      <c r="V155" s="54" t="s">
        <v>305</v>
      </c>
      <c r="W155" s="54" t="s">
        <v>7</v>
      </c>
      <c r="X155" s="54" t="s">
        <v>681</v>
      </c>
      <c r="Y155" s="54" t="s">
        <v>9</v>
      </c>
      <c r="Z155" s="54" t="s">
        <v>12</v>
      </c>
      <c r="AA155" s="54" t="s">
        <v>307</v>
      </c>
      <c r="AB155" s="54" t="s">
        <v>15</v>
      </c>
      <c r="AC155" s="54" t="s">
        <v>12</v>
      </c>
      <c r="AD155" s="54" t="s">
        <v>12</v>
      </c>
      <c r="AE155" s="55" t="s">
        <v>311</v>
      </c>
      <c r="AF155" s="55" t="s">
        <v>312</v>
      </c>
    </row>
    <row r="156" spans="1:34" ht="30" x14ac:dyDescent="0.25">
      <c r="A156" s="54" t="s">
        <v>592</v>
      </c>
      <c r="B156" s="54"/>
      <c r="C156" s="54"/>
      <c r="D156" s="55" t="s">
        <v>299</v>
      </c>
      <c r="E156" s="55" t="s">
        <v>300</v>
      </c>
      <c r="F156" s="122">
        <v>34225868.25</v>
      </c>
      <c r="G156" s="62"/>
      <c r="H156" s="53" t="s">
        <v>79</v>
      </c>
      <c r="I156" s="34">
        <f>VLOOKUP(H156,'Criterios y Ponderaciones'!$D$48:$J$53,7,0)</f>
        <v>1</v>
      </c>
      <c r="J156" s="53" t="s">
        <v>80</v>
      </c>
      <c r="K156" s="34">
        <f>VLOOKUP(J156,'Criterios y Ponderaciones'!$E$48:$J$52,6,0)</f>
        <v>0.25</v>
      </c>
      <c r="L156" s="53" t="s">
        <v>41</v>
      </c>
      <c r="M156" s="34">
        <f>VLOOKUP(L156,'Criterios y Ponderaciones'!$F$53:$G$54,2,0)</f>
        <v>1</v>
      </c>
      <c r="N156" s="53" t="s">
        <v>88</v>
      </c>
      <c r="O156" s="34">
        <f>VLOOKUP(N156,'Criterios y Ponderaciones'!$G$48:$J$52,4,0)</f>
        <v>1</v>
      </c>
      <c r="P156" s="53" t="s">
        <v>41</v>
      </c>
      <c r="Q156" s="34">
        <f>VLOOKUP(P156,'Criterios y Ponderaciones'!$F$53:$G$54,2,0)</f>
        <v>1</v>
      </c>
      <c r="R156" s="58">
        <f>(I156*$I$3+K156*$K$3+M156*$M$3+O156*$O$3+Q156*$Q$3)*1000</f>
        <v>860.22727272727263</v>
      </c>
      <c r="S156" s="68">
        <v>2021</v>
      </c>
      <c r="T156" s="57">
        <v>44197</v>
      </c>
      <c r="U156" s="57">
        <v>44561</v>
      </c>
      <c r="V156" s="54" t="s">
        <v>305</v>
      </c>
      <c r="W156" s="54" t="s">
        <v>7</v>
      </c>
      <c r="X156" s="54" t="s">
        <v>681</v>
      </c>
      <c r="Y156" s="54" t="s">
        <v>9</v>
      </c>
      <c r="Z156" s="54" t="s">
        <v>12</v>
      </c>
      <c r="AA156" s="54" t="s">
        <v>307</v>
      </c>
      <c r="AB156" s="54" t="s">
        <v>15</v>
      </c>
      <c r="AC156" s="54" t="s">
        <v>12</v>
      </c>
      <c r="AD156" s="54" t="s">
        <v>12</v>
      </c>
      <c r="AE156" s="55" t="s">
        <v>322</v>
      </c>
      <c r="AF156" s="55" t="s">
        <v>312</v>
      </c>
    </row>
    <row r="157" spans="1:34" ht="60" x14ac:dyDescent="0.25">
      <c r="A157" s="54" t="s">
        <v>592</v>
      </c>
      <c r="B157" s="54"/>
      <c r="C157" s="54" t="s">
        <v>100</v>
      </c>
      <c r="D157" s="55" t="s">
        <v>186</v>
      </c>
      <c r="E157" s="55" t="s">
        <v>280</v>
      </c>
      <c r="F157" s="56">
        <f>(95*'Montos de Referencia'!$C$6+1*'Montos de Referencia'!$C$10)*'Montos de Referencia'!$I$3</f>
        <v>400283000</v>
      </c>
      <c r="G157" s="63" t="s">
        <v>249</v>
      </c>
      <c r="H157" s="53" t="s">
        <v>79</v>
      </c>
      <c r="I157" s="34">
        <f>VLOOKUP(H157,'Criterios y Ponderaciones'!$D$48:$J$53,7,0)</f>
        <v>1</v>
      </c>
      <c r="J157" s="53" t="s">
        <v>83</v>
      </c>
      <c r="K157" s="34">
        <f>VLOOKUP(J157,'Criterios y Ponderaciones'!$E$48:$J$52,6,0)</f>
        <v>1</v>
      </c>
      <c r="L157" s="53" t="s">
        <v>49</v>
      </c>
      <c r="M157" s="34">
        <f>VLOOKUP(L157,'Criterios y Ponderaciones'!$F$53:$G$54,2,0)</f>
        <v>0</v>
      </c>
      <c r="N157" s="53" t="s">
        <v>87</v>
      </c>
      <c r="O157" s="34">
        <f>VLOOKUP(N157,'Criterios y Ponderaciones'!$G$48:$J$52,4,0)</f>
        <v>0.75</v>
      </c>
      <c r="P157" s="53" t="s">
        <v>41</v>
      </c>
      <c r="Q157" s="34">
        <f>VLOOKUP(P157,'Criterios y Ponderaciones'!$F$53:$G$54,2,0)</f>
        <v>1</v>
      </c>
      <c r="R157" s="58">
        <f t="shared" si="4"/>
        <v>676.13636363636351</v>
      </c>
      <c r="S157" s="68">
        <v>2021</v>
      </c>
      <c r="T157" s="57">
        <v>43831</v>
      </c>
      <c r="U157" s="57">
        <f>+T157+720</f>
        <v>44551</v>
      </c>
      <c r="V157" s="54" t="s">
        <v>539</v>
      </c>
      <c r="W157" s="54" t="s">
        <v>8</v>
      </c>
      <c r="X157" s="54" t="s">
        <v>12</v>
      </c>
      <c r="Y157" s="54" t="s">
        <v>12</v>
      </c>
      <c r="Z157" s="54" t="s">
        <v>12</v>
      </c>
      <c r="AA157" s="54" t="s">
        <v>17</v>
      </c>
      <c r="AB157" s="54" t="s">
        <v>27</v>
      </c>
      <c r="AC157" s="54" t="s">
        <v>12</v>
      </c>
      <c r="AD157" s="54" t="s">
        <v>12</v>
      </c>
      <c r="AE157" s="55" t="s">
        <v>627</v>
      </c>
      <c r="AF157" s="55" t="s">
        <v>540</v>
      </c>
    </row>
    <row r="158" spans="1:34" ht="45" x14ac:dyDescent="0.25">
      <c r="A158" s="54" t="s">
        <v>592</v>
      </c>
      <c r="B158" s="54"/>
      <c r="C158" s="54" t="s">
        <v>99</v>
      </c>
      <c r="D158" s="55" t="s">
        <v>172</v>
      </c>
      <c r="E158" s="55" t="s">
        <v>173</v>
      </c>
      <c r="F158" s="56">
        <f>(5*'Montos de Referencia'!$C$9+43*'Montos de Referencia'!$C$6+1*'Montos de Referencia'!$C$10)*'Montos de Referencia'!$I$3</f>
        <v>308060200</v>
      </c>
      <c r="G158" s="63" t="s">
        <v>503</v>
      </c>
      <c r="H158" s="53" t="s">
        <v>79</v>
      </c>
      <c r="I158" s="34">
        <f>VLOOKUP(H158,'Criterios y Ponderaciones'!$D$48:$J$53,7,0)</f>
        <v>1</v>
      </c>
      <c r="J158" s="53" t="s">
        <v>83</v>
      </c>
      <c r="K158" s="34">
        <f>VLOOKUP(J158,'Criterios y Ponderaciones'!$E$48:$J$52,6,0)</f>
        <v>1</v>
      </c>
      <c r="L158" s="53" t="s">
        <v>49</v>
      </c>
      <c r="M158" s="34">
        <f>VLOOKUP(L158,'Criterios y Ponderaciones'!$F$53:$G$54,2,0)</f>
        <v>0</v>
      </c>
      <c r="N158" s="53" t="s">
        <v>84</v>
      </c>
      <c r="O158" s="34">
        <f>VLOOKUP(N158,'Criterios y Ponderaciones'!$G$48:$J$52,4,0)</f>
        <v>0</v>
      </c>
      <c r="P158" s="53" t="s">
        <v>41</v>
      </c>
      <c r="Q158" s="34">
        <f>VLOOKUP(P158,'Criterios y Ponderaciones'!$F$53:$G$54,2,0)</f>
        <v>1</v>
      </c>
      <c r="R158" s="58">
        <f t="shared" si="4"/>
        <v>536.36363636363637</v>
      </c>
      <c r="S158" s="68">
        <v>2021</v>
      </c>
      <c r="T158" s="57">
        <v>43831</v>
      </c>
      <c r="U158" s="57">
        <f>+T158+720</f>
        <v>44551</v>
      </c>
      <c r="V158" s="54" t="s">
        <v>534</v>
      </c>
      <c r="W158" s="54" t="s">
        <v>8</v>
      </c>
      <c r="X158" s="54" t="s">
        <v>12</v>
      </c>
      <c r="Y158" s="54" t="s">
        <v>12</v>
      </c>
      <c r="Z158" s="54" t="s">
        <v>12</v>
      </c>
      <c r="AA158" s="54" t="s">
        <v>17</v>
      </c>
      <c r="AB158" s="54" t="s">
        <v>27</v>
      </c>
      <c r="AC158" s="54" t="s">
        <v>12</v>
      </c>
      <c r="AD158" s="54" t="s">
        <v>12</v>
      </c>
      <c r="AE158" s="55" t="s">
        <v>623</v>
      </c>
      <c r="AF158" s="55" t="s">
        <v>535</v>
      </c>
    </row>
    <row r="159" spans="1:34" ht="45" x14ac:dyDescent="0.25">
      <c r="A159" s="54" t="s">
        <v>592</v>
      </c>
      <c r="B159" s="54"/>
      <c r="C159" s="54"/>
      <c r="D159" s="55" t="s">
        <v>272</v>
      </c>
      <c r="E159" s="55" t="s">
        <v>221</v>
      </c>
      <c r="F159" s="56">
        <f>('Montos de Referencia'!$C$5*'Montos de Referencia'!$I$3+35000000)*1.04</f>
        <v>56707040</v>
      </c>
      <c r="G159" s="63" t="s">
        <v>256</v>
      </c>
      <c r="H159" s="53" t="s">
        <v>79</v>
      </c>
      <c r="I159" s="34">
        <f>VLOOKUP(H159,'Criterios y Ponderaciones'!$D$48:$J$53,7,0)</f>
        <v>1</v>
      </c>
      <c r="J159" s="53" t="s">
        <v>83</v>
      </c>
      <c r="K159" s="34">
        <f>VLOOKUP(J159,'Criterios y Ponderaciones'!$E$48:$J$52,6,0)</f>
        <v>1</v>
      </c>
      <c r="L159" s="53" t="s">
        <v>49</v>
      </c>
      <c r="M159" s="34">
        <f>VLOOKUP(L159,'Criterios y Ponderaciones'!$F$53:$G$54,2,0)</f>
        <v>0</v>
      </c>
      <c r="N159" s="53" t="s">
        <v>84</v>
      </c>
      <c r="O159" s="34">
        <f>VLOOKUP(N159,'Criterios y Ponderaciones'!$G$48:$J$52,4,0)</f>
        <v>0</v>
      </c>
      <c r="P159" s="53" t="s">
        <v>41</v>
      </c>
      <c r="Q159" s="34">
        <f>VLOOKUP(P159,'Criterios y Ponderaciones'!$F$53:$G$54,2,0)</f>
        <v>1</v>
      </c>
      <c r="R159" s="58">
        <f t="shared" si="4"/>
        <v>536.36363636363637</v>
      </c>
      <c r="S159" s="68">
        <v>2021</v>
      </c>
      <c r="T159" s="57">
        <v>44196</v>
      </c>
      <c r="U159" s="57">
        <f>+T159+360</f>
        <v>44556</v>
      </c>
      <c r="V159" s="54" t="s">
        <v>226</v>
      </c>
      <c r="W159" s="54" t="s">
        <v>8</v>
      </c>
      <c r="X159" s="54" t="s">
        <v>12</v>
      </c>
      <c r="Y159" s="54" t="s">
        <v>12</v>
      </c>
      <c r="Z159" s="54" t="s">
        <v>12</v>
      </c>
      <c r="AA159" s="54" t="s">
        <v>27</v>
      </c>
      <c r="AB159" s="54" t="s">
        <v>16</v>
      </c>
      <c r="AC159" s="54" t="s">
        <v>12</v>
      </c>
      <c r="AD159" s="54" t="s">
        <v>12</v>
      </c>
      <c r="AE159" s="55" t="s">
        <v>639</v>
      </c>
      <c r="AF159" s="55" t="s">
        <v>555</v>
      </c>
    </row>
    <row r="160" spans="1:34" ht="39.75" customHeight="1" x14ac:dyDescent="0.25">
      <c r="A160" s="54" t="s">
        <v>592</v>
      </c>
      <c r="B160" s="54"/>
      <c r="C160" s="54"/>
      <c r="D160" s="55" t="s">
        <v>274</v>
      </c>
      <c r="E160" s="55" t="s">
        <v>222</v>
      </c>
      <c r="F160" s="56">
        <f>('Montos de Referencia'!$C$5*'Montos de Referencia'!$I$3+35000000)*1.025</f>
        <v>55889149.999999993</v>
      </c>
      <c r="G160" s="63" t="s">
        <v>257</v>
      </c>
      <c r="H160" s="53" t="s">
        <v>79</v>
      </c>
      <c r="I160" s="34">
        <f>VLOOKUP(H160,'Criterios y Ponderaciones'!$D$48:$J$53,7,0)</f>
        <v>1</v>
      </c>
      <c r="J160" s="53" t="s">
        <v>83</v>
      </c>
      <c r="K160" s="34">
        <f>VLOOKUP(J160,'Criterios y Ponderaciones'!$E$48:$J$52,6,0)</f>
        <v>1</v>
      </c>
      <c r="L160" s="53" t="s">
        <v>49</v>
      </c>
      <c r="M160" s="34">
        <f>VLOOKUP(L160,'Criterios y Ponderaciones'!$F$53:$G$54,2,0)</f>
        <v>0</v>
      </c>
      <c r="N160" s="53" t="s">
        <v>84</v>
      </c>
      <c r="O160" s="34">
        <f>VLOOKUP(N160,'Criterios y Ponderaciones'!$G$48:$J$52,4,0)</f>
        <v>0</v>
      </c>
      <c r="P160" s="53" t="s">
        <v>41</v>
      </c>
      <c r="Q160" s="34">
        <f>VLOOKUP(P160,'Criterios y Ponderaciones'!$F$53:$G$54,2,0)</f>
        <v>1</v>
      </c>
      <c r="R160" s="58">
        <f t="shared" si="4"/>
        <v>536.36363636363637</v>
      </c>
      <c r="S160" s="68">
        <v>2021</v>
      </c>
      <c r="T160" s="57">
        <v>44196</v>
      </c>
      <c r="U160" s="57">
        <f>+T160+360</f>
        <v>44556</v>
      </c>
      <c r="V160" s="54" t="s">
        <v>226</v>
      </c>
      <c r="W160" s="54" t="s">
        <v>8</v>
      </c>
      <c r="X160" s="54" t="s">
        <v>12</v>
      </c>
      <c r="Y160" s="54" t="s">
        <v>12</v>
      </c>
      <c r="Z160" s="54" t="s">
        <v>12</v>
      </c>
      <c r="AA160" s="54" t="s">
        <v>27</v>
      </c>
      <c r="AB160" s="54" t="s">
        <v>16</v>
      </c>
      <c r="AC160" s="54" t="s">
        <v>12</v>
      </c>
      <c r="AD160" s="54" t="s">
        <v>12</v>
      </c>
      <c r="AE160" s="55" t="s">
        <v>640</v>
      </c>
      <c r="AF160" s="55" t="s">
        <v>555</v>
      </c>
    </row>
    <row r="161" spans="1:34" ht="120" x14ac:dyDescent="0.25">
      <c r="A161" s="54" t="s">
        <v>592</v>
      </c>
      <c r="B161" s="54"/>
      <c r="C161" s="54" t="s">
        <v>100</v>
      </c>
      <c r="D161" s="55" t="s">
        <v>199</v>
      </c>
      <c r="E161" s="55" t="s">
        <v>200</v>
      </c>
      <c r="F161" s="56">
        <f>(115*'Montos de Referencia'!$C$6+2*'Montos de Referencia'!$C$10)*'Montos de Referencia'!$I$3</f>
        <v>496411000</v>
      </c>
      <c r="G161" s="63" t="s">
        <v>512</v>
      </c>
      <c r="H161" s="53" t="s">
        <v>79</v>
      </c>
      <c r="I161" s="34">
        <f>VLOOKUP(H161,'Criterios y Ponderaciones'!$D$48:$J$53,7,0)</f>
        <v>1</v>
      </c>
      <c r="J161" s="53" t="s">
        <v>83</v>
      </c>
      <c r="K161" s="34">
        <f>VLOOKUP(J161,'Criterios y Ponderaciones'!$E$48:$J$52,6,0)</f>
        <v>1</v>
      </c>
      <c r="L161" s="53" t="s">
        <v>49</v>
      </c>
      <c r="M161" s="34">
        <f>VLOOKUP(L161,'Criterios y Ponderaciones'!$F$53:$G$54,2,0)</f>
        <v>0</v>
      </c>
      <c r="N161" s="53" t="s">
        <v>84</v>
      </c>
      <c r="O161" s="34">
        <f>VLOOKUP(N161,'Criterios y Ponderaciones'!$G$48:$J$52,4,0)</f>
        <v>0</v>
      </c>
      <c r="P161" s="53" t="s">
        <v>41</v>
      </c>
      <c r="Q161" s="34">
        <f>VLOOKUP(P161,'Criterios y Ponderaciones'!$F$53:$G$54,2,0)</f>
        <v>1</v>
      </c>
      <c r="R161" s="58">
        <f t="shared" si="4"/>
        <v>536.36363636363637</v>
      </c>
      <c r="S161" s="68">
        <v>2021</v>
      </c>
      <c r="T161" s="57">
        <v>43646</v>
      </c>
      <c r="U161" s="57">
        <f>+T161+720</f>
        <v>44366</v>
      </c>
      <c r="V161" s="54" t="s">
        <v>226</v>
      </c>
      <c r="W161" s="54" t="s">
        <v>8</v>
      </c>
      <c r="X161" s="54" t="s">
        <v>12</v>
      </c>
      <c r="Y161" s="54" t="s">
        <v>12</v>
      </c>
      <c r="Z161" s="54" t="s">
        <v>12</v>
      </c>
      <c r="AA161" s="54" t="s">
        <v>17</v>
      </c>
      <c r="AB161" s="54" t="s">
        <v>27</v>
      </c>
      <c r="AC161" s="54" t="s">
        <v>12</v>
      </c>
      <c r="AD161" s="54" t="s">
        <v>12</v>
      </c>
      <c r="AE161" s="55" t="s">
        <v>641</v>
      </c>
      <c r="AF161" s="55" t="s">
        <v>557</v>
      </c>
      <c r="AH161" s="4" t="s">
        <v>490</v>
      </c>
    </row>
    <row r="162" spans="1:34" ht="45" x14ac:dyDescent="0.25">
      <c r="A162" s="54" t="s">
        <v>592</v>
      </c>
      <c r="B162" s="54"/>
      <c r="C162" s="54"/>
      <c r="D162" s="55" t="s">
        <v>215</v>
      </c>
      <c r="E162" s="55" t="s">
        <v>269</v>
      </c>
      <c r="F162" s="56">
        <f>('Montos de Referencia'!$C$5*'Montos de Referencia'!$I$3+35000000)*1.02</f>
        <v>55616520</v>
      </c>
      <c r="G162" s="63" t="s">
        <v>252</v>
      </c>
      <c r="H162" s="53" t="s">
        <v>79</v>
      </c>
      <c r="I162" s="34">
        <f>VLOOKUP(H162,'Criterios y Ponderaciones'!$D$48:$J$53,7,0)</f>
        <v>1</v>
      </c>
      <c r="J162" s="53" t="s">
        <v>82</v>
      </c>
      <c r="K162" s="34">
        <f>VLOOKUP(J162,'Criterios y Ponderaciones'!$E$48:$J$52,6,0)</f>
        <v>0.75</v>
      </c>
      <c r="L162" s="53" t="s">
        <v>49</v>
      </c>
      <c r="M162" s="34">
        <f>VLOOKUP(L162,'Criterios y Ponderaciones'!$F$53:$G$54,2,0)</f>
        <v>0</v>
      </c>
      <c r="N162" s="53" t="s">
        <v>84</v>
      </c>
      <c r="O162" s="34">
        <f>VLOOKUP(N162,'Criterios y Ponderaciones'!$G$48:$J$52,4,0)</f>
        <v>0</v>
      </c>
      <c r="P162" s="53" t="s">
        <v>41</v>
      </c>
      <c r="Q162" s="34">
        <f>VLOOKUP(P162,'Criterios y Ponderaciones'!$F$53:$G$54,2,0)</f>
        <v>1</v>
      </c>
      <c r="R162" s="58">
        <f t="shared" si="4"/>
        <v>489.77272727272725</v>
      </c>
      <c r="S162" s="68">
        <v>2021</v>
      </c>
      <c r="T162" s="57">
        <v>44196</v>
      </c>
      <c r="U162" s="57">
        <f>+T162+360</f>
        <v>44556</v>
      </c>
      <c r="V162" s="54" t="s">
        <v>226</v>
      </c>
      <c r="W162" s="54" t="s">
        <v>8</v>
      </c>
      <c r="X162" s="54" t="s">
        <v>12</v>
      </c>
      <c r="Y162" s="54" t="s">
        <v>12</v>
      </c>
      <c r="Z162" s="54" t="s">
        <v>12</v>
      </c>
      <c r="AA162" s="54" t="s">
        <v>27</v>
      </c>
      <c r="AB162" s="54" t="s">
        <v>16</v>
      </c>
      <c r="AC162" s="54" t="s">
        <v>12</v>
      </c>
      <c r="AD162" s="54" t="s">
        <v>12</v>
      </c>
      <c r="AE162" s="55" t="s">
        <v>619</v>
      </c>
      <c r="AF162" s="55" t="s">
        <v>555</v>
      </c>
    </row>
    <row r="163" spans="1:34" ht="45" x14ac:dyDescent="0.25">
      <c r="A163" s="54" t="s">
        <v>592</v>
      </c>
      <c r="B163" s="54"/>
      <c r="C163" s="54"/>
      <c r="D163" s="55" t="s">
        <v>216</v>
      </c>
      <c r="E163" s="55" t="s">
        <v>217</v>
      </c>
      <c r="F163" s="56">
        <f>('Montos de Referencia'!$C$5*1.2*'Montos de Referencia'!$I$3+35000000)</f>
        <v>58431200</v>
      </c>
      <c r="G163" s="63" t="s">
        <v>253</v>
      </c>
      <c r="H163" s="53" t="s">
        <v>79</v>
      </c>
      <c r="I163" s="34">
        <f>VLOOKUP(H163,'Criterios y Ponderaciones'!$D$48:$J$53,7,0)</f>
        <v>1</v>
      </c>
      <c r="J163" s="53" t="s">
        <v>81</v>
      </c>
      <c r="K163" s="34">
        <f>VLOOKUP(J163,'Criterios y Ponderaciones'!$E$48:$J$52,6,0)</f>
        <v>0.5</v>
      </c>
      <c r="L163" s="53" t="s">
        <v>49</v>
      </c>
      <c r="M163" s="34">
        <f>VLOOKUP(L163,'Criterios y Ponderaciones'!$F$53:$G$54,2,0)</f>
        <v>0</v>
      </c>
      <c r="N163" s="53" t="s">
        <v>84</v>
      </c>
      <c r="O163" s="34">
        <f>VLOOKUP(N163,'Criterios y Ponderaciones'!$G$48:$J$52,4,0)</f>
        <v>0</v>
      </c>
      <c r="P163" s="53" t="s">
        <v>41</v>
      </c>
      <c r="Q163" s="34">
        <f>VLOOKUP(P163,'Criterios y Ponderaciones'!$F$53:$G$54,2,0)</f>
        <v>1</v>
      </c>
      <c r="R163" s="58">
        <f t="shared" si="4"/>
        <v>443.18181818181813</v>
      </c>
      <c r="S163" s="68">
        <v>2021</v>
      </c>
      <c r="T163" s="57">
        <v>44196</v>
      </c>
      <c r="U163" s="57">
        <f>+T163+360</f>
        <v>44556</v>
      </c>
      <c r="V163" s="54" t="s">
        <v>226</v>
      </c>
      <c r="W163" s="54" t="s">
        <v>8</v>
      </c>
      <c r="X163" s="54" t="s">
        <v>12</v>
      </c>
      <c r="Y163" s="54" t="s">
        <v>12</v>
      </c>
      <c r="Z163" s="54" t="s">
        <v>12</v>
      </c>
      <c r="AA163" s="54" t="s">
        <v>27</v>
      </c>
      <c r="AB163" s="54" t="s">
        <v>16</v>
      </c>
      <c r="AC163" s="54" t="s">
        <v>12</v>
      </c>
      <c r="AD163" s="54" t="s">
        <v>12</v>
      </c>
      <c r="AE163" s="55" t="s">
        <v>614</v>
      </c>
      <c r="AF163" s="55" t="s">
        <v>555</v>
      </c>
    </row>
    <row r="164" spans="1:34" ht="45" customHeight="1" thickBot="1" x14ac:dyDescent="0.3">
      <c r="A164" s="54" t="s">
        <v>592</v>
      </c>
      <c r="B164" s="54"/>
      <c r="C164" s="54"/>
      <c r="D164" s="55" t="s">
        <v>209</v>
      </c>
      <c r="E164" s="55" t="s">
        <v>210</v>
      </c>
      <c r="F164" s="56">
        <f>('Montos de Referencia'!$C$5*'Montos de Referencia'!$I$3)+35000000*1.32</f>
        <v>65726000</v>
      </c>
      <c r="G164" s="63"/>
      <c r="H164" s="53" t="s">
        <v>76</v>
      </c>
      <c r="I164" s="34">
        <f>VLOOKUP(H164,'Criterios y Ponderaciones'!$D$48:$J$53,7,0)</f>
        <v>0.25</v>
      </c>
      <c r="J164" s="53" t="s">
        <v>81</v>
      </c>
      <c r="K164" s="34">
        <f>VLOOKUP(J164,'Criterios y Ponderaciones'!$E$48:$J$52,6,0)</f>
        <v>0.5</v>
      </c>
      <c r="L164" s="53" t="s">
        <v>49</v>
      </c>
      <c r="M164" s="34">
        <f>VLOOKUP(L164,'Criterios y Ponderaciones'!$F$53:$G$54,2,0)</f>
        <v>0</v>
      </c>
      <c r="N164" s="53" t="s">
        <v>84</v>
      </c>
      <c r="O164" s="34">
        <f>VLOOKUP(N164,'Criterios y Ponderaciones'!$G$48:$J$52,4,0)</f>
        <v>0</v>
      </c>
      <c r="P164" s="53" t="s">
        <v>41</v>
      </c>
      <c r="Q164" s="34">
        <f>VLOOKUP(P164,'Criterios y Ponderaciones'!$F$53:$G$54,2,0)</f>
        <v>1</v>
      </c>
      <c r="R164" s="58">
        <f t="shared" ref="R164:R198" si="5">(I164*$I$3+K164*$K$3+M164*$M$3+O164*$O$3+Q164*$Q$3)*1000</f>
        <v>286.36363636363637</v>
      </c>
      <c r="S164" s="68">
        <v>2021</v>
      </c>
      <c r="T164" s="57">
        <v>44196</v>
      </c>
      <c r="U164" s="57">
        <f>+T164+360</f>
        <v>44556</v>
      </c>
      <c r="V164" s="54" t="s">
        <v>553</v>
      </c>
      <c r="W164" s="54" t="s">
        <v>8</v>
      </c>
      <c r="X164" s="54" t="s">
        <v>12</v>
      </c>
      <c r="Y164" s="54" t="s">
        <v>12</v>
      </c>
      <c r="Z164" s="54" t="s">
        <v>12</v>
      </c>
      <c r="AA164" s="54" t="s">
        <v>27</v>
      </c>
      <c r="AB164" s="54" t="s">
        <v>16</v>
      </c>
      <c r="AC164" s="54" t="s">
        <v>12</v>
      </c>
      <c r="AD164" s="54" t="s">
        <v>12</v>
      </c>
      <c r="AE164" s="55" t="s">
        <v>608</v>
      </c>
      <c r="AF164" s="55" t="s">
        <v>554</v>
      </c>
    </row>
    <row r="165" spans="1:34" s="75" customFormat="1" ht="28.5" customHeight="1" thickBot="1" x14ac:dyDescent="0.3">
      <c r="A165" s="96"/>
      <c r="B165" s="97"/>
      <c r="C165" s="97"/>
      <c r="D165" s="98"/>
      <c r="E165" s="144" t="s">
        <v>694</v>
      </c>
      <c r="F165" s="116">
        <f>SUM(F155:F164)</f>
        <v>1565575846.5</v>
      </c>
      <c r="G165" s="99"/>
      <c r="H165" s="100"/>
      <c r="I165" s="101"/>
      <c r="J165" s="100"/>
      <c r="K165" s="101"/>
      <c r="L165" s="100"/>
      <c r="M165" s="101"/>
      <c r="N165" s="100"/>
      <c r="O165" s="101"/>
      <c r="P165" s="100"/>
      <c r="Q165" s="101"/>
      <c r="R165" s="102"/>
      <c r="S165" s="103"/>
      <c r="T165" s="104"/>
      <c r="U165" s="104"/>
      <c r="V165" s="97"/>
      <c r="W165" s="97"/>
      <c r="X165" s="97"/>
      <c r="Y165" s="97"/>
      <c r="Z165" s="97"/>
      <c r="AA165" s="97"/>
      <c r="AB165" s="97"/>
      <c r="AC165" s="97"/>
      <c r="AD165" s="97"/>
      <c r="AE165" s="98"/>
      <c r="AF165" s="105"/>
      <c r="AH165" s="76"/>
    </row>
    <row r="166" spans="1:34" s="75" customFormat="1" ht="28.5" customHeight="1" thickBot="1" x14ac:dyDescent="0.3">
      <c r="A166" s="106"/>
      <c r="B166" s="107"/>
      <c r="C166" s="107"/>
      <c r="D166" s="108"/>
      <c r="E166" s="108"/>
      <c r="F166" s="117">
        <f>+F165/'Montos de Referencia'!$I$3</f>
        <v>104232746.10519308</v>
      </c>
      <c r="G166" s="109"/>
      <c r="H166" s="110"/>
      <c r="I166" s="111"/>
      <c r="J166" s="110"/>
      <c r="K166" s="111"/>
      <c r="L166" s="110"/>
      <c r="M166" s="111"/>
      <c r="N166" s="110"/>
      <c r="O166" s="111"/>
      <c r="P166" s="110"/>
      <c r="Q166" s="111"/>
      <c r="R166" s="112"/>
      <c r="S166" s="113"/>
      <c r="T166" s="114"/>
      <c r="U166" s="114"/>
      <c r="V166" s="107"/>
      <c r="W166" s="107"/>
      <c r="X166" s="107"/>
      <c r="Y166" s="107"/>
      <c r="Z166" s="107"/>
      <c r="AA166" s="107"/>
      <c r="AB166" s="107"/>
      <c r="AC166" s="107"/>
      <c r="AD166" s="107"/>
      <c r="AE166" s="108"/>
      <c r="AF166" s="115"/>
      <c r="AH166" s="76"/>
    </row>
    <row r="167" spans="1:34" s="75" customFormat="1" ht="6.75" customHeight="1" x14ac:dyDescent="0.25">
      <c r="A167" s="79"/>
      <c r="B167" s="80"/>
      <c r="C167" s="80"/>
      <c r="D167" s="81"/>
      <c r="E167" s="81"/>
      <c r="F167" s="82"/>
      <c r="G167" s="83"/>
      <c r="H167" s="84"/>
      <c r="I167" s="85"/>
      <c r="J167" s="84"/>
      <c r="K167" s="85"/>
      <c r="L167" s="84"/>
      <c r="M167" s="85"/>
      <c r="N167" s="84"/>
      <c r="O167" s="85"/>
      <c r="P167" s="84"/>
      <c r="Q167" s="85"/>
      <c r="R167" s="86"/>
      <c r="S167" s="87"/>
      <c r="T167" s="88"/>
      <c r="U167" s="88"/>
      <c r="V167" s="80"/>
      <c r="W167" s="80"/>
      <c r="X167" s="80"/>
      <c r="Y167" s="80"/>
      <c r="Z167" s="80"/>
      <c r="AA167" s="80"/>
      <c r="AB167" s="80"/>
      <c r="AC167" s="80"/>
      <c r="AD167" s="80"/>
      <c r="AE167" s="81"/>
      <c r="AF167" s="89"/>
      <c r="AH167" s="76"/>
    </row>
    <row r="168" spans="1:34" s="73" customFormat="1" x14ac:dyDescent="0.25">
      <c r="A168" s="169" t="s">
        <v>593</v>
      </c>
      <c r="B168" s="169" t="s">
        <v>594</v>
      </c>
      <c r="C168" s="169" t="s">
        <v>32</v>
      </c>
      <c r="D168" s="169" t="s">
        <v>0</v>
      </c>
      <c r="E168" s="169" t="s">
        <v>1</v>
      </c>
      <c r="F168" s="169" t="s">
        <v>28</v>
      </c>
      <c r="G168" s="169" t="s">
        <v>31</v>
      </c>
      <c r="H168" s="169" t="s">
        <v>64</v>
      </c>
      <c r="I168" s="169"/>
      <c r="J168" s="169"/>
      <c r="K168" s="169"/>
      <c r="L168" s="169"/>
      <c r="M168" s="169"/>
      <c r="N168" s="169"/>
      <c r="O168" s="169"/>
      <c r="P168" s="169"/>
      <c r="Q168" s="169"/>
      <c r="R168" s="171" t="s">
        <v>70</v>
      </c>
      <c r="S168" s="169" t="s">
        <v>671</v>
      </c>
      <c r="T168" s="169" t="s">
        <v>605</v>
      </c>
      <c r="U168" s="169" t="s">
        <v>603</v>
      </c>
      <c r="V168" s="169" t="s">
        <v>25</v>
      </c>
      <c r="W168" s="140" t="s">
        <v>29</v>
      </c>
      <c r="X168" s="140"/>
      <c r="Y168" s="140"/>
      <c r="Z168" s="140"/>
      <c r="AA168" s="140"/>
      <c r="AB168" s="140"/>
      <c r="AC168" s="140"/>
      <c r="AD168" s="140"/>
      <c r="AE168" s="170" t="s">
        <v>89</v>
      </c>
      <c r="AF168" s="170"/>
      <c r="AH168" s="74"/>
    </row>
    <row r="169" spans="1:34" s="1" customFormat="1" x14ac:dyDescent="0.25">
      <c r="A169" s="169"/>
      <c r="B169" s="169"/>
      <c r="C169" s="169"/>
      <c r="D169" s="169"/>
      <c r="E169" s="169"/>
      <c r="F169" s="169"/>
      <c r="G169" s="169"/>
      <c r="H169" s="169" t="s">
        <v>65</v>
      </c>
      <c r="I169" s="169"/>
      <c r="J169" s="169" t="s">
        <v>66</v>
      </c>
      <c r="K169" s="169"/>
      <c r="L169" s="169" t="s">
        <v>67</v>
      </c>
      <c r="M169" s="169"/>
      <c r="N169" s="169" t="s">
        <v>68</v>
      </c>
      <c r="O169" s="169"/>
      <c r="P169" s="169" t="s">
        <v>69</v>
      </c>
      <c r="Q169" s="169"/>
      <c r="R169" s="171"/>
      <c r="S169" s="169"/>
      <c r="T169" s="169"/>
      <c r="U169" s="169"/>
      <c r="V169" s="169"/>
      <c r="W169" s="169" t="s">
        <v>2</v>
      </c>
      <c r="X169" s="170" t="s">
        <v>20</v>
      </c>
      <c r="Y169" s="170"/>
      <c r="Z169" s="169" t="s">
        <v>3</v>
      </c>
      <c r="AA169" s="169" t="s">
        <v>5</v>
      </c>
      <c r="AB169" s="169" t="s">
        <v>6</v>
      </c>
      <c r="AC169" s="169" t="s">
        <v>18</v>
      </c>
      <c r="AD169" s="169" t="s">
        <v>22</v>
      </c>
      <c r="AE169" s="169" t="s">
        <v>23</v>
      </c>
      <c r="AF169" s="169" t="s">
        <v>24</v>
      </c>
      <c r="AH169" s="4"/>
    </row>
    <row r="170" spans="1:34" ht="66" customHeight="1" x14ac:dyDescent="0.25">
      <c r="A170" s="169"/>
      <c r="B170" s="169"/>
      <c r="C170" s="169" t="s">
        <v>30</v>
      </c>
      <c r="D170" s="169"/>
      <c r="E170" s="169"/>
      <c r="F170" s="169"/>
      <c r="G170" s="169"/>
      <c r="H170" s="141" t="s">
        <v>104</v>
      </c>
      <c r="I170" s="141">
        <f>+'Criterios y Ponderaciones'!B186</f>
        <v>0</v>
      </c>
      <c r="J170" s="141" t="s">
        <v>689</v>
      </c>
      <c r="K170" s="141">
        <f>+'Criterios y Ponderaciones'!B187</f>
        <v>0</v>
      </c>
      <c r="L170" s="141" t="s">
        <v>106</v>
      </c>
      <c r="M170" s="141">
        <f>+'Criterios y Ponderaciones'!B188</f>
        <v>0</v>
      </c>
      <c r="N170" s="141" t="s">
        <v>107</v>
      </c>
      <c r="O170" s="141">
        <f>+'Criterios y Ponderaciones'!B189</f>
        <v>0</v>
      </c>
      <c r="P170" s="141" t="s">
        <v>108</v>
      </c>
      <c r="Q170" s="141">
        <f>+'Criterios y Ponderaciones'!B190</f>
        <v>0</v>
      </c>
      <c r="R170" s="171"/>
      <c r="S170" s="169"/>
      <c r="T170" s="169"/>
      <c r="U170" s="169"/>
      <c r="V170" s="169"/>
      <c r="W170" s="169"/>
      <c r="X170" s="142" t="s">
        <v>26</v>
      </c>
      <c r="Y170" s="143" t="s">
        <v>4</v>
      </c>
      <c r="Z170" s="169"/>
      <c r="AA170" s="169"/>
      <c r="AB170" s="169"/>
      <c r="AC170" s="169"/>
      <c r="AD170" s="169"/>
      <c r="AE170" s="169"/>
      <c r="AF170" s="169"/>
    </row>
    <row r="171" spans="1:34" ht="45" x14ac:dyDescent="0.25">
      <c r="A171" s="54" t="s">
        <v>592</v>
      </c>
      <c r="B171" s="54"/>
      <c r="C171" s="54"/>
      <c r="D171" s="55" t="s">
        <v>201</v>
      </c>
      <c r="E171" s="55" t="s">
        <v>202</v>
      </c>
      <c r="F171" s="69">
        <f>(150*'Montos de Referencia'!$C$6+2*'Montos de Referencia'!$C$10)*'Montos de Referencia'!$I$3</f>
        <v>638350000</v>
      </c>
      <c r="G171" s="63" t="s">
        <v>666</v>
      </c>
      <c r="H171" s="53" t="s">
        <v>79</v>
      </c>
      <c r="I171" s="34">
        <f>VLOOKUP(H171,'Criterios y Ponderaciones'!$D$48:$J$53,7,0)</f>
        <v>1</v>
      </c>
      <c r="J171" s="53" t="s">
        <v>83</v>
      </c>
      <c r="K171" s="34">
        <f>VLOOKUP(J171,'Criterios y Ponderaciones'!$E$48:$J$52,6,0)</f>
        <v>1</v>
      </c>
      <c r="L171" s="53" t="s">
        <v>49</v>
      </c>
      <c r="M171" s="34">
        <f>VLOOKUP(L171,'Criterios y Ponderaciones'!$F$53:$G$54,2,0)</f>
        <v>0</v>
      </c>
      <c r="N171" s="53" t="s">
        <v>84</v>
      </c>
      <c r="O171" s="34">
        <f>VLOOKUP(N171,'Criterios y Ponderaciones'!$G$48:$J$52,4,0)</f>
        <v>0</v>
      </c>
      <c r="P171" s="53" t="s">
        <v>41</v>
      </c>
      <c r="Q171" s="34">
        <f>VLOOKUP(P171,'Criterios y Ponderaciones'!$F$53:$G$54,2,0)</f>
        <v>1</v>
      </c>
      <c r="R171" s="58">
        <f t="shared" si="5"/>
        <v>536.36363636363637</v>
      </c>
      <c r="S171" s="68">
        <v>2022</v>
      </c>
      <c r="T171" s="57">
        <v>44197</v>
      </c>
      <c r="U171" s="57">
        <f>+T171+720</f>
        <v>44917</v>
      </c>
      <c r="V171" s="54" t="s">
        <v>226</v>
      </c>
      <c r="W171" s="54" t="s">
        <v>8</v>
      </c>
      <c r="X171" s="54" t="s">
        <v>12</v>
      </c>
      <c r="Y171" s="54" t="s">
        <v>12</v>
      </c>
      <c r="Z171" s="54" t="s">
        <v>12</v>
      </c>
      <c r="AA171" s="54" t="s">
        <v>17</v>
      </c>
      <c r="AB171" s="54" t="s">
        <v>27</v>
      </c>
      <c r="AC171" s="54" t="s">
        <v>12</v>
      </c>
      <c r="AD171" s="54" t="s">
        <v>12</v>
      </c>
      <c r="AE171" s="55" t="s">
        <v>632</v>
      </c>
      <c r="AF171" s="55" t="s">
        <v>549</v>
      </c>
    </row>
    <row r="172" spans="1:34" ht="51" customHeight="1" x14ac:dyDescent="0.25">
      <c r="A172" s="54" t="s">
        <v>592</v>
      </c>
      <c r="B172" s="54"/>
      <c r="C172" s="54"/>
      <c r="D172" s="55" t="s">
        <v>207</v>
      </c>
      <c r="E172" s="55" t="s">
        <v>208</v>
      </c>
      <c r="F172" s="56">
        <f>('Montos de Referencia'!$C$5*'Montos de Referencia'!$I$3)+35000000*1.3</f>
        <v>65026000</v>
      </c>
      <c r="G172" s="63" t="s">
        <v>509</v>
      </c>
      <c r="H172" s="53" t="s">
        <v>79</v>
      </c>
      <c r="I172" s="34">
        <f>VLOOKUP(H172,'Criterios y Ponderaciones'!$D$48:$J$53,7,0)</f>
        <v>1</v>
      </c>
      <c r="J172" s="53" t="s">
        <v>83</v>
      </c>
      <c r="K172" s="34">
        <f>VLOOKUP(J172,'Criterios y Ponderaciones'!$E$48:$J$52,6,0)</f>
        <v>1</v>
      </c>
      <c r="L172" s="53" t="s">
        <v>49</v>
      </c>
      <c r="M172" s="34">
        <f>VLOOKUP(L172,'Criterios y Ponderaciones'!$F$53:$G$54,2,0)</f>
        <v>0</v>
      </c>
      <c r="N172" s="53" t="s">
        <v>84</v>
      </c>
      <c r="O172" s="34">
        <f>VLOOKUP(N172,'Criterios y Ponderaciones'!$G$48:$J$52,4,0)</f>
        <v>0</v>
      </c>
      <c r="P172" s="53" t="s">
        <v>41</v>
      </c>
      <c r="Q172" s="34">
        <f>VLOOKUP(P172,'Criterios y Ponderaciones'!$F$53:$G$54,2,0)</f>
        <v>1</v>
      </c>
      <c r="R172" s="58">
        <f t="shared" si="5"/>
        <v>536.36363636363637</v>
      </c>
      <c r="S172" s="68">
        <v>2022</v>
      </c>
      <c r="T172" s="57">
        <v>44561</v>
      </c>
      <c r="U172" s="57">
        <f>+T172+360</f>
        <v>44921</v>
      </c>
      <c r="V172" s="54" t="s">
        <v>226</v>
      </c>
      <c r="W172" s="54" t="s">
        <v>8</v>
      </c>
      <c r="X172" s="54" t="s">
        <v>12</v>
      </c>
      <c r="Y172" s="54" t="s">
        <v>12</v>
      </c>
      <c r="Z172" s="54" t="s">
        <v>12</v>
      </c>
      <c r="AA172" s="54" t="s">
        <v>27</v>
      </c>
      <c r="AB172" s="54" t="s">
        <v>16</v>
      </c>
      <c r="AC172" s="54" t="s">
        <v>12</v>
      </c>
      <c r="AD172" s="54" t="s">
        <v>12</v>
      </c>
      <c r="AE172" s="55" t="s">
        <v>635</v>
      </c>
      <c r="AF172" s="55" t="s">
        <v>552</v>
      </c>
    </row>
    <row r="173" spans="1:34" ht="56.25" customHeight="1" x14ac:dyDescent="0.25">
      <c r="A173" s="54" t="s">
        <v>592</v>
      </c>
      <c r="B173" s="54"/>
      <c r="C173" s="54"/>
      <c r="D173" s="55" t="s">
        <v>273</v>
      </c>
      <c r="E173" s="55" t="s">
        <v>220</v>
      </c>
      <c r="F173" s="56">
        <f>('Montos de Referencia'!$C$5*'Montos de Referencia'!$I$3+35000000)*1.035</f>
        <v>56434409.999999993</v>
      </c>
      <c r="G173" s="63" t="s">
        <v>255</v>
      </c>
      <c r="H173" s="53" t="s">
        <v>79</v>
      </c>
      <c r="I173" s="34">
        <f>VLOOKUP(H173,'Criterios y Ponderaciones'!$D$48:$J$53,7,0)</f>
        <v>1</v>
      </c>
      <c r="J173" s="53" t="s">
        <v>83</v>
      </c>
      <c r="K173" s="34">
        <f>VLOOKUP(J173,'Criterios y Ponderaciones'!$E$48:$J$52,6,0)</f>
        <v>1</v>
      </c>
      <c r="L173" s="53" t="s">
        <v>49</v>
      </c>
      <c r="M173" s="34">
        <f>VLOOKUP(L173,'Criterios y Ponderaciones'!$F$53:$G$54,2,0)</f>
        <v>0</v>
      </c>
      <c r="N173" s="53" t="s">
        <v>84</v>
      </c>
      <c r="O173" s="34">
        <f>VLOOKUP(N173,'Criterios y Ponderaciones'!$G$48:$J$52,4,0)</f>
        <v>0</v>
      </c>
      <c r="P173" s="53" t="s">
        <v>41</v>
      </c>
      <c r="Q173" s="34">
        <f>VLOOKUP(P173,'Criterios y Ponderaciones'!$F$53:$G$54,2,0)</f>
        <v>1</v>
      </c>
      <c r="R173" s="58">
        <f t="shared" si="5"/>
        <v>536.36363636363637</v>
      </c>
      <c r="S173" s="68">
        <v>2022</v>
      </c>
      <c r="T173" s="57">
        <v>44561</v>
      </c>
      <c r="U173" s="57">
        <f>+T173+360</f>
        <v>44921</v>
      </c>
      <c r="V173" s="54" t="s">
        <v>226</v>
      </c>
      <c r="W173" s="54" t="s">
        <v>8</v>
      </c>
      <c r="X173" s="54" t="s">
        <v>12</v>
      </c>
      <c r="Y173" s="54" t="s">
        <v>12</v>
      </c>
      <c r="Z173" s="54" t="s">
        <v>12</v>
      </c>
      <c r="AA173" s="54" t="s">
        <v>27</v>
      </c>
      <c r="AB173" s="54" t="s">
        <v>16</v>
      </c>
      <c r="AC173" s="54" t="s">
        <v>12</v>
      </c>
      <c r="AD173" s="54" t="s">
        <v>12</v>
      </c>
      <c r="AE173" s="55" t="s">
        <v>638</v>
      </c>
      <c r="AF173" s="55" t="s">
        <v>555</v>
      </c>
    </row>
    <row r="174" spans="1:34" ht="45" x14ac:dyDescent="0.25">
      <c r="A174" s="54" t="s">
        <v>592</v>
      </c>
      <c r="B174" s="54"/>
      <c r="C174" s="54"/>
      <c r="D174" s="55" t="s">
        <v>218</v>
      </c>
      <c r="E174" s="55" t="s">
        <v>219</v>
      </c>
      <c r="F174" s="56">
        <f>('Montos de Referencia'!$C$5*1.2*'Montos de Referencia'!$I$3+35000000)*1.02</f>
        <v>59599824</v>
      </c>
      <c r="G174" s="63" t="s">
        <v>254</v>
      </c>
      <c r="H174" s="53" t="s">
        <v>79</v>
      </c>
      <c r="I174" s="34">
        <f>VLOOKUP(H174,'Criterios y Ponderaciones'!$D$48:$J$53,7,0)</f>
        <v>1</v>
      </c>
      <c r="J174" s="53" t="s">
        <v>81</v>
      </c>
      <c r="K174" s="34">
        <f>VLOOKUP(J174,'Criterios y Ponderaciones'!$E$48:$J$52,6,0)</f>
        <v>0.5</v>
      </c>
      <c r="L174" s="53" t="s">
        <v>49</v>
      </c>
      <c r="M174" s="34">
        <f>VLOOKUP(L174,'Criterios y Ponderaciones'!$F$53:$G$54,2,0)</f>
        <v>0</v>
      </c>
      <c r="N174" s="53" t="s">
        <v>84</v>
      </c>
      <c r="O174" s="34">
        <f>VLOOKUP(N174,'Criterios y Ponderaciones'!$G$48:$J$52,4,0)</f>
        <v>0</v>
      </c>
      <c r="P174" s="53" t="s">
        <v>41</v>
      </c>
      <c r="Q174" s="34">
        <f>VLOOKUP(P174,'Criterios y Ponderaciones'!$F$53:$G$54,2,0)</f>
        <v>1</v>
      </c>
      <c r="R174" s="58">
        <f t="shared" si="5"/>
        <v>443.18181818181813</v>
      </c>
      <c r="S174" s="68">
        <v>2022</v>
      </c>
      <c r="T174" s="57">
        <v>44561</v>
      </c>
      <c r="U174" s="57">
        <f>+T174+360</f>
        <v>44921</v>
      </c>
      <c r="V174" s="54" t="s">
        <v>226</v>
      </c>
      <c r="W174" s="54" t="s">
        <v>8</v>
      </c>
      <c r="X174" s="54" t="s">
        <v>12</v>
      </c>
      <c r="Y174" s="54" t="s">
        <v>12</v>
      </c>
      <c r="Z174" s="54" t="s">
        <v>12</v>
      </c>
      <c r="AA174" s="54" t="s">
        <v>27</v>
      </c>
      <c r="AB174" s="54" t="s">
        <v>16</v>
      </c>
      <c r="AC174" s="54" t="s">
        <v>12</v>
      </c>
      <c r="AD174" s="54" t="s">
        <v>12</v>
      </c>
      <c r="AE174" s="55" t="s">
        <v>615</v>
      </c>
      <c r="AF174" s="55" t="s">
        <v>555</v>
      </c>
    </row>
    <row r="175" spans="1:34" ht="39.75" customHeight="1" thickBot="1" x14ac:dyDescent="0.3">
      <c r="A175" s="54" t="s">
        <v>592</v>
      </c>
      <c r="B175" s="54"/>
      <c r="C175" s="54"/>
      <c r="D175" s="55" t="s">
        <v>224</v>
      </c>
      <c r="E175" s="55" t="s">
        <v>225</v>
      </c>
      <c r="F175" s="56">
        <f>('Montos de Referencia'!$C$5*1.2*'Montos de Referencia'!$I$3)+35000000*1.3</f>
        <v>68931200</v>
      </c>
      <c r="G175" s="63"/>
      <c r="H175" s="53" t="s">
        <v>79</v>
      </c>
      <c r="I175" s="34">
        <f>VLOOKUP(H175,'Criterios y Ponderaciones'!$D$48:$J$53,7,0)</f>
        <v>1</v>
      </c>
      <c r="J175" s="53" t="s">
        <v>81</v>
      </c>
      <c r="K175" s="34">
        <f>VLOOKUP(J175,'Criterios y Ponderaciones'!$E$48:$J$52,6,0)</f>
        <v>0.5</v>
      </c>
      <c r="L175" s="53" t="s">
        <v>49</v>
      </c>
      <c r="M175" s="34">
        <f>VLOOKUP(L175,'Criterios y Ponderaciones'!$F$53:$G$54,2,0)</f>
        <v>0</v>
      </c>
      <c r="N175" s="53" t="s">
        <v>84</v>
      </c>
      <c r="O175" s="34">
        <f>VLOOKUP(N175,'Criterios y Ponderaciones'!$G$48:$J$52,4,0)</f>
        <v>0</v>
      </c>
      <c r="P175" s="53" t="s">
        <v>41</v>
      </c>
      <c r="Q175" s="34">
        <f>VLOOKUP(P175,'Criterios y Ponderaciones'!$F$53:$G$54,2,0)</f>
        <v>1</v>
      </c>
      <c r="R175" s="58">
        <f t="shared" si="5"/>
        <v>443.18181818181813</v>
      </c>
      <c r="S175" s="68">
        <v>2022</v>
      </c>
      <c r="T175" s="57">
        <v>44561</v>
      </c>
      <c r="U175" s="57">
        <f>+T175+360</f>
        <v>44921</v>
      </c>
      <c r="V175" s="54" t="s">
        <v>543</v>
      </c>
      <c r="W175" s="54" t="s">
        <v>8</v>
      </c>
      <c r="X175" s="54" t="s">
        <v>12</v>
      </c>
      <c r="Y175" s="54" t="s">
        <v>12</v>
      </c>
      <c r="Z175" s="54" t="s">
        <v>12</v>
      </c>
      <c r="AA175" s="54" t="s">
        <v>27</v>
      </c>
      <c r="AB175" s="54" t="s">
        <v>16</v>
      </c>
      <c r="AC175" s="54" t="s">
        <v>12</v>
      </c>
      <c r="AD175" s="54" t="s">
        <v>12</v>
      </c>
      <c r="AE175" s="55" t="s">
        <v>624</v>
      </c>
      <c r="AF175" s="55" t="s">
        <v>556</v>
      </c>
    </row>
    <row r="176" spans="1:34" s="75" customFormat="1" ht="28.5" customHeight="1" thickBot="1" x14ac:dyDescent="0.3">
      <c r="A176" s="96"/>
      <c r="B176" s="97"/>
      <c r="C176" s="97"/>
      <c r="D176" s="98"/>
      <c r="E176" s="144" t="s">
        <v>695</v>
      </c>
      <c r="F176" s="116">
        <f>SUM(F171:F175)</f>
        <v>888341434</v>
      </c>
      <c r="G176" s="99"/>
      <c r="H176" s="100"/>
      <c r="I176" s="101"/>
      <c r="J176" s="100"/>
      <c r="K176" s="101"/>
      <c r="L176" s="100"/>
      <c r="M176" s="101"/>
      <c r="N176" s="100"/>
      <c r="O176" s="101"/>
      <c r="P176" s="100"/>
      <c r="Q176" s="101"/>
      <c r="R176" s="102"/>
      <c r="S176" s="103"/>
      <c r="T176" s="104"/>
      <c r="U176" s="104"/>
      <c r="V176" s="97"/>
      <c r="W176" s="97"/>
      <c r="X176" s="97"/>
      <c r="Y176" s="97"/>
      <c r="Z176" s="97"/>
      <c r="AA176" s="97"/>
      <c r="AB176" s="97"/>
      <c r="AC176" s="97"/>
      <c r="AD176" s="97"/>
      <c r="AE176" s="98"/>
      <c r="AF176" s="105"/>
      <c r="AH176" s="76"/>
    </row>
    <row r="177" spans="1:34" s="75" customFormat="1" ht="28.5" customHeight="1" thickBot="1" x14ac:dyDescent="0.3">
      <c r="A177" s="106"/>
      <c r="B177" s="107"/>
      <c r="C177" s="107"/>
      <c r="D177" s="108"/>
      <c r="E177" s="108"/>
      <c r="F177" s="117">
        <f>+F176/'Montos de Referencia'!$I$3</f>
        <v>59143903.728362188</v>
      </c>
      <c r="G177" s="109"/>
      <c r="H177" s="110"/>
      <c r="I177" s="111"/>
      <c r="J177" s="110"/>
      <c r="K177" s="111"/>
      <c r="L177" s="110"/>
      <c r="M177" s="111"/>
      <c r="N177" s="110"/>
      <c r="O177" s="111"/>
      <c r="P177" s="110"/>
      <c r="Q177" s="111"/>
      <c r="R177" s="112"/>
      <c r="S177" s="113"/>
      <c r="T177" s="114"/>
      <c r="U177" s="114"/>
      <c r="V177" s="107"/>
      <c r="W177" s="107"/>
      <c r="X177" s="107"/>
      <c r="Y177" s="107"/>
      <c r="Z177" s="107"/>
      <c r="AA177" s="107"/>
      <c r="AB177" s="107"/>
      <c r="AC177" s="107"/>
      <c r="AD177" s="107"/>
      <c r="AE177" s="108"/>
      <c r="AF177" s="115"/>
      <c r="AH177" s="76"/>
    </row>
    <row r="178" spans="1:34" s="75" customFormat="1" ht="6.75" customHeight="1" x14ac:dyDescent="0.25">
      <c r="A178" s="79"/>
      <c r="B178" s="80"/>
      <c r="C178" s="80"/>
      <c r="D178" s="81"/>
      <c r="E178" s="81"/>
      <c r="F178" s="82"/>
      <c r="G178" s="83"/>
      <c r="H178" s="84"/>
      <c r="I178" s="85"/>
      <c r="J178" s="84"/>
      <c r="K178" s="85"/>
      <c r="L178" s="84"/>
      <c r="M178" s="85"/>
      <c r="N178" s="84"/>
      <c r="O178" s="85"/>
      <c r="P178" s="84"/>
      <c r="Q178" s="85"/>
      <c r="R178" s="86"/>
      <c r="S178" s="87"/>
      <c r="T178" s="88"/>
      <c r="U178" s="88"/>
      <c r="V178" s="80"/>
      <c r="W178" s="80"/>
      <c r="X178" s="80"/>
      <c r="Y178" s="80"/>
      <c r="Z178" s="80"/>
      <c r="AA178" s="80"/>
      <c r="AB178" s="80"/>
      <c r="AC178" s="80"/>
      <c r="AD178" s="80"/>
      <c r="AE178" s="81"/>
      <c r="AF178" s="89"/>
      <c r="AH178" s="76"/>
    </row>
    <row r="179" spans="1:34" s="73" customFormat="1" x14ac:dyDescent="0.25">
      <c r="A179" s="169" t="s">
        <v>593</v>
      </c>
      <c r="B179" s="169" t="s">
        <v>594</v>
      </c>
      <c r="C179" s="169" t="s">
        <v>32</v>
      </c>
      <c r="D179" s="169" t="s">
        <v>0</v>
      </c>
      <c r="E179" s="169" t="s">
        <v>1</v>
      </c>
      <c r="F179" s="169" t="s">
        <v>28</v>
      </c>
      <c r="G179" s="169" t="s">
        <v>31</v>
      </c>
      <c r="H179" s="169" t="s">
        <v>64</v>
      </c>
      <c r="I179" s="169"/>
      <c r="J179" s="169"/>
      <c r="K179" s="169"/>
      <c r="L179" s="169"/>
      <c r="M179" s="169"/>
      <c r="N179" s="169"/>
      <c r="O179" s="169"/>
      <c r="P179" s="169"/>
      <c r="Q179" s="169"/>
      <c r="R179" s="171" t="s">
        <v>70</v>
      </c>
      <c r="S179" s="169" t="s">
        <v>671</v>
      </c>
      <c r="T179" s="169" t="s">
        <v>605</v>
      </c>
      <c r="U179" s="169" t="s">
        <v>603</v>
      </c>
      <c r="V179" s="169" t="s">
        <v>25</v>
      </c>
      <c r="W179" s="140" t="s">
        <v>29</v>
      </c>
      <c r="X179" s="140"/>
      <c r="Y179" s="140"/>
      <c r="Z179" s="140"/>
      <c r="AA179" s="140"/>
      <c r="AB179" s="140"/>
      <c r="AC179" s="140"/>
      <c r="AD179" s="140"/>
      <c r="AE179" s="170" t="s">
        <v>89</v>
      </c>
      <c r="AF179" s="170"/>
      <c r="AH179" s="74"/>
    </row>
    <row r="180" spans="1:34" s="1" customFormat="1" x14ac:dyDescent="0.25">
      <c r="A180" s="169"/>
      <c r="B180" s="169"/>
      <c r="C180" s="169"/>
      <c r="D180" s="169"/>
      <c r="E180" s="169"/>
      <c r="F180" s="169"/>
      <c r="G180" s="169"/>
      <c r="H180" s="169" t="s">
        <v>65</v>
      </c>
      <c r="I180" s="169"/>
      <c r="J180" s="169" t="s">
        <v>66</v>
      </c>
      <c r="K180" s="169"/>
      <c r="L180" s="169" t="s">
        <v>67</v>
      </c>
      <c r="M180" s="169"/>
      <c r="N180" s="169" t="s">
        <v>68</v>
      </c>
      <c r="O180" s="169"/>
      <c r="P180" s="169" t="s">
        <v>69</v>
      </c>
      <c r="Q180" s="169"/>
      <c r="R180" s="171"/>
      <c r="S180" s="169"/>
      <c r="T180" s="169"/>
      <c r="U180" s="169"/>
      <c r="V180" s="169"/>
      <c r="W180" s="169" t="s">
        <v>2</v>
      </c>
      <c r="X180" s="170" t="s">
        <v>20</v>
      </c>
      <c r="Y180" s="170"/>
      <c r="Z180" s="169" t="s">
        <v>3</v>
      </c>
      <c r="AA180" s="169" t="s">
        <v>5</v>
      </c>
      <c r="AB180" s="169" t="s">
        <v>6</v>
      </c>
      <c r="AC180" s="169" t="s">
        <v>18</v>
      </c>
      <c r="AD180" s="169" t="s">
        <v>22</v>
      </c>
      <c r="AE180" s="169" t="s">
        <v>23</v>
      </c>
      <c r="AF180" s="169" t="s">
        <v>24</v>
      </c>
      <c r="AH180" s="4"/>
    </row>
    <row r="181" spans="1:34" ht="66" customHeight="1" x14ac:dyDescent="0.25">
      <c r="A181" s="169"/>
      <c r="B181" s="169"/>
      <c r="C181" s="169" t="s">
        <v>30</v>
      </c>
      <c r="D181" s="169"/>
      <c r="E181" s="169"/>
      <c r="F181" s="169"/>
      <c r="G181" s="169"/>
      <c r="H181" s="141" t="s">
        <v>104</v>
      </c>
      <c r="I181" s="141">
        <f>+'Criterios y Ponderaciones'!B197</f>
        <v>0</v>
      </c>
      <c r="J181" s="141" t="s">
        <v>689</v>
      </c>
      <c r="K181" s="141">
        <f>+'Criterios y Ponderaciones'!B198</f>
        <v>0</v>
      </c>
      <c r="L181" s="141" t="s">
        <v>106</v>
      </c>
      <c r="M181" s="141">
        <f>+'Criterios y Ponderaciones'!B199</f>
        <v>0</v>
      </c>
      <c r="N181" s="141" t="s">
        <v>107</v>
      </c>
      <c r="O181" s="141">
        <f>+'Criterios y Ponderaciones'!B200</f>
        <v>0</v>
      </c>
      <c r="P181" s="141" t="s">
        <v>108</v>
      </c>
      <c r="Q181" s="141">
        <f>+'Criterios y Ponderaciones'!B201</f>
        <v>0</v>
      </c>
      <c r="R181" s="171"/>
      <c r="S181" s="169"/>
      <c r="T181" s="169"/>
      <c r="U181" s="169"/>
      <c r="V181" s="169"/>
      <c r="W181" s="169"/>
      <c r="X181" s="142" t="s">
        <v>26</v>
      </c>
      <c r="Y181" s="143" t="s">
        <v>4</v>
      </c>
      <c r="Z181" s="169"/>
      <c r="AA181" s="169"/>
      <c r="AB181" s="169"/>
      <c r="AC181" s="169"/>
      <c r="AD181" s="169"/>
      <c r="AE181" s="169"/>
      <c r="AF181" s="169"/>
    </row>
    <row r="182" spans="1:34" ht="45" x14ac:dyDescent="0.25">
      <c r="A182" s="54" t="s">
        <v>592</v>
      </c>
      <c r="B182" s="54"/>
      <c r="C182" s="54" t="s">
        <v>100</v>
      </c>
      <c r="D182" s="55" t="s">
        <v>189</v>
      </c>
      <c r="E182" s="55" t="s">
        <v>190</v>
      </c>
      <c r="F182" s="56">
        <f>(18*'Montos de Referencia'!$C$8+2*'Montos de Referencia'!$C$10)*'Montos de Referencia'!$I$3</f>
        <v>113851600</v>
      </c>
      <c r="G182" s="63" t="s">
        <v>506</v>
      </c>
      <c r="H182" s="53" t="s">
        <v>79</v>
      </c>
      <c r="I182" s="34">
        <f>VLOOKUP(H182,'Criterios y Ponderaciones'!$D$48:$J$53,7,0)</f>
        <v>1</v>
      </c>
      <c r="J182" s="53" t="s">
        <v>83</v>
      </c>
      <c r="K182" s="34">
        <f>VLOOKUP(J182,'Criterios y Ponderaciones'!$E$48:$J$52,6,0)</f>
        <v>1</v>
      </c>
      <c r="L182" s="53" t="s">
        <v>49</v>
      </c>
      <c r="M182" s="34">
        <f>VLOOKUP(L182,'Criterios y Ponderaciones'!$F$53:$G$54,2,0)</f>
        <v>0</v>
      </c>
      <c r="N182" s="53" t="s">
        <v>84</v>
      </c>
      <c r="O182" s="34">
        <f>VLOOKUP(N182,'Criterios y Ponderaciones'!$G$48:$J$52,4,0)</f>
        <v>0</v>
      </c>
      <c r="P182" s="53" t="s">
        <v>41</v>
      </c>
      <c r="Q182" s="34">
        <f>VLOOKUP(P182,'Criterios y Ponderaciones'!$F$53:$G$54,2,0)</f>
        <v>1</v>
      </c>
      <c r="R182" s="58">
        <f t="shared" si="5"/>
        <v>536.36363636363637</v>
      </c>
      <c r="S182" s="68">
        <v>2023</v>
      </c>
      <c r="T182" s="57">
        <v>44742</v>
      </c>
      <c r="U182" s="57">
        <f>+T182+540</f>
        <v>45282</v>
      </c>
      <c r="V182" s="54" t="s">
        <v>543</v>
      </c>
      <c r="W182" s="54" t="s">
        <v>8</v>
      </c>
      <c r="X182" s="54" t="s">
        <v>12</v>
      </c>
      <c r="Y182" s="54" t="s">
        <v>12</v>
      </c>
      <c r="Z182" s="54" t="s">
        <v>12</v>
      </c>
      <c r="AA182" s="54" t="s">
        <v>17</v>
      </c>
      <c r="AB182" s="54" t="s">
        <v>27</v>
      </c>
      <c r="AC182" s="54" t="s">
        <v>12</v>
      </c>
      <c r="AD182" s="54" t="s">
        <v>12</v>
      </c>
      <c r="AE182" s="55" t="s">
        <v>624</v>
      </c>
      <c r="AF182" s="55" t="s">
        <v>544</v>
      </c>
    </row>
    <row r="183" spans="1:34" ht="67.5" customHeight="1" x14ac:dyDescent="0.25">
      <c r="A183" s="54" t="s">
        <v>592</v>
      </c>
      <c r="B183" s="54"/>
      <c r="C183" s="54"/>
      <c r="D183" s="55" t="s">
        <v>275</v>
      </c>
      <c r="E183" s="55" t="s">
        <v>223</v>
      </c>
      <c r="F183" s="56">
        <f>('Montos de Referencia'!$C$5*'Montos de Referencia'!$I$3+35000000)*1.028</f>
        <v>56052728</v>
      </c>
      <c r="G183" s="63" t="s">
        <v>258</v>
      </c>
      <c r="H183" s="53" t="s">
        <v>79</v>
      </c>
      <c r="I183" s="34">
        <f>VLOOKUP(H183,'Criterios y Ponderaciones'!$D$48:$J$53,7,0)</f>
        <v>1</v>
      </c>
      <c r="J183" s="53" t="s">
        <v>83</v>
      </c>
      <c r="K183" s="34">
        <f>VLOOKUP(J183,'Criterios y Ponderaciones'!$E$48:$J$52,6,0)</f>
        <v>1</v>
      </c>
      <c r="L183" s="53" t="s">
        <v>49</v>
      </c>
      <c r="M183" s="34">
        <f>VLOOKUP(L183,'Criterios y Ponderaciones'!$F$53:$G$54,2,0)</f>
        <v>0</v>
      </c>
      <c r="N183" s="53" t="s">
        <v>84</v>
      </c>
      <c r="O183" s="34">
        <f>VLOOKUP(N183,'Criterios y Ponderaciones'!$G$48:$J$52,4,0)</f>
        <v>0</v>
      </c>
      <c r="P183" s="53" t="s">
        <v>41</v>
      </c>
      <c r="Q183" s="34">
        <f>VLOOKUP(P183,'Criterios y Ponderaciones'!$F$53:$G$54,2,0)</f>
        <v>1</v>
      </c>
      <c r="R183" s="58">
        <f t="shared" si="5"/>
        <v>536.36363636363637</v>
      </c>
      <c r="S183" s="68">
        <v>2023</v>
      </c>
      <c r="T183" s="57">
        <v>44926</v>
      </c>
      <c r="U183" s="57">
        <f>+T183+360</f>
        <v>45286</v>
      </c>
      <c r="V183" s="54" t="s">
        <v>226</v>
      </c>
      <c r="W183" s="54" t="s">
        <v>8</v>
      </c>
      <c r="X183" s="54" t="s">
        <v>12</v>
      </c>
      <c r="Y183" s="54" t="s">
        <v>12</v>
      </c>
      <c r="Z183" s="54" t="s">
        <v>12</v>
      </c>
      <c r="AA183" s="54" t="s">
        <v>27</v>
      </c>
      <c r="AB183" s="54" t="s">
        <v>16</v>
      </c>
      <c r="AC183" s="54" t="s">
        <v>12</v>
      </c>
      <c r="AD183" s="54" t="s">
        <v>12</v>
      </c>
      <c r="AE183" s="55" t="s">
        <v>625</v>
      </c>
      <c r="AF183" s="55" t="s">
        <v>555</v>
      </c>
    </row>
    <row r="184" spans="1:34" ht="45" x14ac:dyDescent="0.25">
      <c r="A184" s="54" t="s">
        <v>592</v>
      </c>
      <c r="B184" s="54"/>
      <c r="C184" s="54"/>
      <c r="D184" s="55" t="s">
        <v>213</v>
      </c>
      <c r="E184" s="55" t="s">
        <v>214</v>
      </c>
      <c r="F184" s="56">
        <f>('Montos de Referencia'!$C$5*'Montos de Referencia'!$I$3)+35000000</f>
        <v>54526000</v>
      </c>
      <c r="G184" s="63" t="s">
        <v>251</v>
      </c>
      <c r="H184" s="53" t="s">
        <v>78</v>
      </c>
      <c r="I184" s="34">
        <f>VLOOKUP(H184,'Criterios y Ponderaciones'!$D$48:$J$53,7,0)</f>
        <v>0.75</v>
      </c>
      <c r="J184" s="53" t="s">
        <v>83</v>
      </c>
      <c r="K184" s="34">
        <f>VLOOKUP(J184,'Criterios y Ponderaciones'!$E$48:$J$52,6,0)</f>
        <v>1</v>
      </c>
      <c r="L184" s="53" t="s">
        <v>49</v>
      </c>
      <c r="M184" s="34">
        <f>VLOOKUP(L184,'Criterios y Ponderaciones'!$F$53:$G$54,2,0)</f>
        <v>0</v>
      </c>
      <c r="N184" s="53" t="s">
        <v>84</v>
      </c>
      <c r="O184" s="34">
        <f>VLOOKUP(N184,'Criterios y Ponderaciones'!$G$48:$J$52,4,0)</f>
        <v>0</v>
      </c>
      <c r="P184" s="53" t="s">
        <v>41</v>
      </c>
      <c r="Q184" s="34">
        <f>VLOOKUP(P184,'Criterios y Ponderaciones'!$F$53:$G$54,2,0)</f>
        <v>1</v>
      </c>
      <c r="R184" s="58">
        <f t="shared" si="5"/>
        <v>484.09090909090901</v>
      </c>
      <c r="S184" s="68">
        <v>2023</v>
      </c>
      <c r="T184" s="57">
        <v>44926</v>
      </c>
      <c r="U184" s="57">
        <f>+T184+360</f>
        <v>45286</v>
      </c>
      <c r="V184" s="54" t="s">
        <v>226</v>
      </c>
      <c r="W184" s="54" t="s">
        <v>8</v>
      </c>
      <c r="X184" s="54" t="s">
        <v>12</v>
      </c>
      <c r="Y184" s="54" t="s">
        <v>12</v>
      </c>
      <c r="Z184" s="54" t="s">
        <v>12</v>
      </c>
      <c r="AA184" s="54" t="s">
        <v>27</v>
      </c>
      <c r="AB184" s="54" t="s">
        <v>16</v>
      </c>
      <c r="AC184" s="54" t="s">
        <v>12</v>
      </c>
      <c r="AD184" s="54" t="s">
        <v>12</v>
      </c>
      <c r="AE184" s="55" t="s">
        <v>637</v>
      </c>
      <c r="AF184" s="55" t="s">
        <v>555</v>
      </c>
    </row>
    <row r="185" spans="1:34" ht="45" x14ac:dyDescent="0.25">
      <c r="A185" s="54" t="s">
        <v>592</v>
      </c>
      <c r="B185" s="54"/>
      <c r="C185" s="54" t="s">
        <v>100</v>
      </c>
      <c r="D185" s="55" t="s">
        <v>429</v>
      </c>
      <c r="E185" s="55" t="s">
        <v>430</v>
      </c>
      <c r="F185" s="56">
        <f>(6000000*1.045+'Montos de Referencia'!$C$5*1.1*'Montos de Referencia'!$I$3)*2</f>
        <v>55497200</v>
      </c>
      <c r="G185" s="62">
        <v>0</v>
      </c>
      <c r="H185" s="53" t="s">
        <v>79</v>
      </c>
      <c r="I185" s="34">
        <f>VLOOKUP(H185,'Criterios y Ponderaciones'!$D$48:$J$53,7,0)</f>
        <v>1</v>
      </c>
      <c r="J185" s="53" t="s">
        <v>81</v>
      </c>
      <c r="K185" s="34">
        <f>VLOOKUP(J185,'Criterios y Ponderaciones'!$E$48:$J$52,6,0)</f>
        <v>0.5</v>
      </c>
      <c r="L185" s="53" t="s">
        <v>49</v>
      </c>
      <c r="M185" s="34">
        <f>VLOOKUP(L185,'Criterios y Ponderaciones'!$F$53:$G$54,2,0)</f>
        <v>0</v>
      </c>
      <c r="N185" s="53" t="s">
        <v>84</v>
      </c>
      <c r="O185" s="34">
        <f>VLOOKUP(N185,'Criterios y Ponderaciones'!$G$48:$J$52,4,0)</f>
        <v>0</v>
      </c>
      <c r="P185" s="53" t="s">
        <v>41</v>
      </c>
      <c r="Q185" s="34">
        <f>VLOOKUP(P185,'Criterios y Ponderaciones'!$F$53:$G$54,2,0)</f>
        <v>1</v>
      </c>
      <c r="R185" s="58">
        <f t="shared" si="5"/>
        <v>443.18181818181813</v>
      </c>
      <c r="S185" s="68">
        <v>2023</v>
      </c>
      <c r="T185" s="57">
        <f>U185-540</f>
        <v>44721</v>
      </c>
      <c r="U185" s="57">
        <v>45261</v>
      </c>
      <c r="V185" s="54" t="s">
        <v>446</v>
      </c>
      <c r="W185" s="54" t="s">
        <v>12</v>
      </c>
      <c r="X185" s="54" t="s">
        <v>12</v>
      </c>
      <c r="Y185" s="54" t="s">
        <v>12</v>
      </c>
      <c r="Z185" s="54" t="s">
        <v>12</v>
      </c>
      <c r="AA185" s="54"/>
      <c r="AB185" s="54" t="s">
        <v>17</v>
      </c>
      <c r="AC185" s="54" t="s">
        <v>12</v>
      </c>
      <c r="AD185" s="54" t="s">
        <v>12</v>
      </c>
      <c r="AE185" s="55" t="s">
        <v>477</v>
      </c>
      <c r="AF185" s="55" t="s">
        <v>474</v>
      </c>
    </row>
    <row r="186" spans="1:34" ht="114.75" customHeight="1" x14ac:dyDescent="0.25">
      <c r="A186" s="54" t="s">
        <v>592</v>
      </c>
      <c r="B186" s="54"/>
      <c r="C186" s="54" t="s">
        <v>100</v>
      </c>
      <c r="D186" s="55" t="s">
        <v>434</v>
      </c>
      <c r="E186" s="55" t="s">
        <v>435</v>
      </c>
      <c r="F186" s="56">
        <f>(95*'Montos de Referencia'!$C$6+2*'Montos de Referencia'!$C$10)*'Montos de Referencia'!$I$3</f>
        <v>415303000</v>
      </c>
      <c r="G186" s="62" t="s">
        <v>412</v>
      </c>
      <c r="H186" s="53" t="s">
        <v>76</v>
      </c>
      <c r="I186" s="34">
        <f>VLOOKUP(H186,'Criterios y Ponderaciones'!$D$48:$J$53,7,0)</f>
        <v>0.25</v>
      </c>
      <c r="J186" s="53" t="s">
        <v>83</v>
      </c>
      <c r="K186" s="34">
        <f>VLOOKUP(J186,'Criterios y Ponderaciones'!$E$48:$J$52,6,0)</f>
        <v>1</v>
      </c>
      <c r="L186" s="53" t="s">
        <v>49</v>
      </c>
      <c r="M186" s="34">
        <f>VLOOKUP(L186,'Criterios y Ponderaciones'!$F$53:$G$54,2,0)</f>
        <v>0</v>
      </c>
      <c r="N186" s="53" t="s">
        <v>84</v>
      </c>
      <c r="O186" s="34">
        <f>VLOOKUP(N186,'Criterios y Ponderaciones'!$G$48:$J$52,4,0)</f>
        <v>0</v>
      </c>
      <c r="P186" s="53" t="s">
        <v>41</v>
      </c>
      <c r="Q186" s="34">
        <f>VLOOKUP(P186,'Criterios y Ponderaciones'!$F$53:$G$54,2,0)</f>
        <v>1</v>
      </c>
      <c r="R186" s="58">
        <f t="shared" si="5"/>
        <v>379.5454545454545</v>
      </c>
      <c r="S186" s="68">
        <v>2023</v>
      </c>
      <c r="T186" s="57">
        <f>U186-720</f>
        <v>44541</v>
      </c>
      <c r="U186" s="57">
        <v>45261</v>
      </c>
      <c r="V186" s="54" t="s">
        <v>446</v>
      </c>
      <c r="W186" s="54" t="s">
        <v>12</v>
      </c>
      <c r="X186" s="54" t="s">
        <v>12</v>
      </c>
      <c r="Y186" s="54" t="s">
        <v>12</v>
      </c>
      <c r="Z186" s="54" t="s">
        <v>12</v>
      </c>
      <c r="AA186" s="54"/>
      <c r="AB186" s="54" t="s">
        <v>17</v>
      </c>
      <c r="AC186" s="54" t="s">
        <v>12</v>
      </c>
      <c r="AD186" s="54" t="s">
        <v>12</v>
      </c>
      <c r="AE186" s="55" t="s">
        <v>455</v>
      </c>
      <c r="AF186" s="55" t="s">
        <v>482</v>
      </c>
    </row>
    <row r="187" spans="1:34" ht="105" x14ac:dyDescent="0.25">
      <c r="A187" s="54" t="s">
        <v>592</v>
      </c>
      <c r="B187" s="54"/>
      <c r="C187" s="54" t="s">
        <v>100</v>
      </c>
      <c r="D187" s="55" t="s">
        <v>414</v>
      </c>
      <c r="E187" s="55" t="s">
        <v>423</v>
      </c>
      <c r="F187" s="56">
        <f>(6000000*1.055+'Montos de Referencia'!$C$5*'Montos de Referencia'!$I$3)*2</f>
        <v>51712000</v>
      </c>
      <c r="G187" s="62" t="s">
        <v>424</v>
      </c>
      <c r="H187" s="53" t="s">
        <v>76</v>
      </c>
      <c r="I187" s="34">
        <f>VLOOKUP(H187,'Criterios y Ponderaciones'!$D$48:$J$53,7,0)</f>
        <v>0.25</v>
      </c>
      <c r="J187" s="53" t="s">
        <v>82</v>
      </c>
      <c r="K187" s="34">
        <f>VLOOKUP(J187,'Criterios y Ponderaciones'!$E$48:$J$52,6,0)</f>
        <v>0.75</v>
      </c>
      <c r="L187" s="53" t="s">
        <v>49</v>
      </c>
      <c r="M187" s="34">
        <f>VLOOKUP(L187,'Criterios y Ponderaciones'!$F$53:$G$54,2,0)</f>
        <v>0</v>
      </c>
      <c r="N187" s="53" t="s">
        <v>84</v>
      </c>
      <c r="O187" s="34">
        <f>VLOOKUP(N187,'Criterios y Ponderaciones'!$G$48:$J$52,4,0)</f>
        <v>0</v>
      </c>
      <c r="P187" s="53" t="s">
        <v>41</v>
      </c>
      <c r="Q187" s="34">
        <f>VLOOKUP(P187,'Criterios y Ponderaciones'!$F$53:$G$54,2,0)</f>
        <v>1</v>
      </c>
      <c r="R187" s="58">
        <f t="shared" si="5"/>
        <v>332.95454545454544</v>
      </c>
      <c r="S187" s="68">
        <v>2023</v>
      </c>
      <c r="T187" s="57">
        <f>U187-540</f>
        <v>44721</v>
      </c>
      <c r="U187" s="57">
        <v>45261</v>
      </c>
      <c r="V187" s="54" t="s">
        <v>446</v>
      </c>
      <c r="W187" s="54" t="s">
        <v>467</v>
      </c>
      <c r="X187" s="54" t="s">
        <v>228</v>
      </c>
      <c r="Y187" s="54" t="s">
        <v>9</v>
      </c>
      <c r="Z187" s="54" t="s">
        <v>9</v>
      </c>
      <c r="AA187" s="54" t="s">
        <v>443</v>
      </c>
      <c r="AB187" s="54" t="s">
        <v>16</v>
      </c>
      <c r="AC187" s="54" t="s">
        <v>19</v>
      </c>
      <c r="AD187" s="54" t="s">
        <v>12</v>
      </c>
      <c r="AE187" s="55" t="s">
        <v>468</v>
      </c>
      <c r="AF187" s="55" t="s">
        <v>469</v>
      </c>
    </row>
    <row r="188" spans="1:34" ht="45" x14ac:dyDescent="0.25">
      <c r="A188" s="54" t="s">
        <v>592</v>
      </c>
      <c r="B188" s="54"/>
      <c r="C188" s="54" t="s">
        <v>100</v>
      </c>
      <c r="D188" s="55" t="s">
        <v>440</v>
      </c>
      <c r="E188" s="55" t="s">
        <v>441</v>
      </c>
      <c r="F188" s="56">
        <f>(60000000*1.02+'Montos de Referencia'!$C$5*'Montos de Referencia'!$I$3)</f>
        <v>80726000</v>
      </c>
      <c r="G188" s="62">
        <v>0</v>
      </c>
      <c r="H188" s="53" t="s">
        <v>76</v>
      </c>
      <c r="I188" s="34">
        <f>VLOOKUP(H188,'Criterios y Ponderaciones'!$D$48:$J$53,7,0)</f>
        <v>0.25</v>
      </c>
      <c r="J188" s="53" t="s">
        <v>82</v>
      </c>
      <c r="K188" s="34">
        <f>VLOOKUP(J188,'Criterios y Ponderaciones'!$E$48:$J$52,6,0)</f>
        <v>0.75</v>
      </c>
      <c r="L188" s="53" t="s">
        <v>49</v>
      </c>
      <c r="M188" s="34">
        <f>VLOOKUP(L188,'Criterios y Ponderaciones'!$F$53:$G$54,2,0)</f>
        <v>0</v>
      </c>
      <c r="N188" s="53" t="s">
        <v>84</v>
      </c>
      <c r="O188" s="34">
        <f>VLOOKUP(N188,'Criterios y Ponderaciones'!$G$48:$J$52,4,0)</f>
        <v>0</v>
      </c>
      <c r="P188" s="53" t="s">
        <v>41</v>
      </c>
      <c r="Q188" s="34">
        <f>VLOOKUP(P188,'Criterios y Ponderaciones'!$F$53:$G$54,2,0)</f>
        <v>1</v>
      </c>
      <c r="R188" s="58">
        <f t="shared" si="5"/>
        <v>332.95454545454544</v>
      </c>
      <c r="S188" s="68">
        <v>2023</v>
      </c>
      <c r="T188" s="57">
        <f>U188-540</f>
        <v>44721</v>
      </c>
      <c r="U188" s="57">
        <v>45261</v>
      </c>
      <c r="V188" s="54" t="s">
        <v>446</v>
      </c>
      <c r="W188" s="54" t="s">
        <v>12</v>
      </c>
      <c r="X188" s="54" t="s">
        <v>12</v>
      </c>
      <c r="Y188" s="54" t="s">
        <v>12</v>
      </c>
      <c r="Z188" s="54" t="s">
        <v>12</v>
      </c>
      <c r="AA188" s="54"/>
      <c r="AB188" s="54" t="s">
        <v>17</v>
      </c>
      <c r="AC188" s="54" t="s">
        <v>12</v>
      </c>
      <c r="AD188" s="54" t="s">
        <v>12</v>
      </c>
      <c r="AE188" s="55" t="s">
        <v>485</v>
      </c>
      <c r="AF188" s="55" t="s">
        <v>486</v>
      </c>
    </row>
    <row r="189" spans="1:34" ht="30" x14ac:dyDescent="0.25">
      <c r="A189" s="54" t="s">
        <v>592</v>
      </c>
      <c r="B189" s="54"/>
      <c r="C189" s="54" t="s">
        <v>100</v>
      </c>
      <c r="D189" s="55" t="s">
        <v>431</v>
      </c>
      <c r="E189" s="55" t="s">
        <v>416</v>
      </c>
      <c r="F189" s="56">
        <f>(60000000*1.065+'Montos de Referencia'!$C$5*'Montos de Referencia'!$I$3)</f>
        <v>83426000</v>
      </c>
      <c r="G189" s="62">
        <v>0</v>
      </c>
      <c r="H189" s="53" t="s">
        <v>76</v>
      </c>
      <c r="I189" s="34">
        <f>VLOOKUP(H189,'Criterios y Ponderaciones'!$D$48:$J$53,7,0)</f>
        <v>0.25</v>
      </c>
      <c r="J189" s="53" t="s">
        <v>80</v>
      </c>
      <c r="K189" s="34">
        <f>VLOOKUP(J189,'Criterios y Ponderaciones'!$E$48:$J$52,6,0)</f>
        <v>0.25</v>
      </c>
      <c r="L189" s="53" t="s">
        <v>49</v>
      </c>
      <c r="M189" s="34">
        <f>VLOOKUP(L189,'Criterios y Ponderaciones'!$F$53:$G$54,2,0)</f>
        <v>0</v>
      </c>
      <c r="N189" s="53" t="s">
        <v>84</v>
      </c>
      <c r="O189" s="34">
        <f>VLOOKUP(N189,'Criterios y Ponderaciones'!$G$48:$J$52,4,0)</f>
        <v>0</v>
      </c>
      <c r="P189" s="53" t="s">
        <v>41</v>
      </c>
      <c r="Q189" s="34">
        <f>VLOOKUP(P189,'Criterios y Ponderaciones'!$F$53:$G$54,2,0)</f>
        <v>1</v>
      </c>
      <c r="R189" s="58">
        <f t="shared" si="5"/>
        <v>239.77272727272725</v>
      </c>
      <c r="S189" s="68">
        <v>2023</v>
      </c>
      <c r="T189" s="57">
        <f>U189-540</f>
        <v>44721</v>
      </c>
      <c r="U189" s="57">
        <v>45261</v>
      </c>
      <c r="V189" s="54" t="s">
        <v>446</v>
      </c>
      <c r="W189" s="54" t="s">
        <v>12</v>
      </c>
      <c r="X189" s="54" t="s">
        <v>12</v>
      </c>
      <c r="Y189" s="54" t="s">
        <v>12</v>
      </c>
      <c r="Z189" s="54" t="s">
        <v>12</v>
      </c>
      <c r="AA189" s="54"/>
      <c r="AB189" s="54" t="s">
        <v>17</v>
      </c>
      <c r="AC189" s="54" t="s">
        <v>12</v>
      </c>
      <c r="AD189" s="54" t="s">
        <v>12</v>
      </c>
      <c r="AE189" s="55" t="s">
        <v>478</v>
      </c>
      <c r="AF189" s="55" t="s">
        <v>479</v>
      </c>
    </row>
    <row r="190" spans="1:34" ht="67.5" customHeight="1" thickBot="1" x14ac:dyDescent="0.3">
      <c r="A190" s="54" t="s">
        <v>592</v>
      </c>
      <c r="B190" s="54"/>
      <c r="C190" s="54" t="s">
        <v>100</v>
      </c>
      <c r="D190" s="55" t="s">
        <v>436</v>
      </c>
      <c r="E190" s="55" t="s">
        <v>437</v>
      </c>
      <c r="F190" s="56">
        <f>(95.5*'Montos de Referencia'!$C$6+2*'Montos de Referencia'!$C$10)*'Montos de Referencia'!$I$3</f>
        <v>417330700</v>
      </c>
      <c r="G190" s="62" t="s">
        <v>427</v>
      </c>
      <c r="H190" s="53" t="s">
        <v>76</v>
      </c>
      <c r="I190" s="34">
        <f>VLOOKUP(H190,'Criterios y Ponderaciones'!$D$48:$J$53,7,0)</f>
        <v>0.25</v>
      </c>
      <c r="J190" s="53" t="s">
        <v>83</v>
      </c>
      <c r="K190" s="34">
        <f>VLOOKUP(J190,'Criterios y Ponderaciones'!$E$48:$J$52,6,0)</f>
        <v>1</v>
      </c>
      <c r="L190" s="53" t="s">
        <v>49</v>
      </c>
      <c r="M190" s="34">
        <f>VLOOKUP(L190,'Criterios y Ponderaciones'!$F$53:$G$54,2,0)</f>
        <v>0</v>
      </c>
      <c r="N190" s="53" t="s">
        <v>84</v>
      </c>
      <c r="O190" s="34">
        <f>VLOOKUP(N190,'Criterios y Ponderaciones'!$G$48:$J$52,4,0)</f>
        <v>0</v>
      </c>
      <c r="P190" s="53" t="s">
        <v>49</v>
      </c>
      <c r="Q190" s="34">
        <f>VLOOKUP(P190,'Criterios y Ponderaciones'!$F$53:$G$54,2,0)</f>
        <v>0</v>
      </c>
      <c r="R190" s="58">
        <f t="shared" si="5"/>
        <v>238.63636363636363</v>
      </c>
      <c r="S190" s="68">
        <v>2023</v>
      </c>
      <c r="T190" s="57">
        <f>U190-720</f>
        <v>44541</v>
      </c>
      <c r="U190" s="57">
        <v>45261</v>
      </c>
      <c r="V190" s="54" t="s">
        <v>446</v>
      </c>
      <c r="W190" s="54" t="s">
        <v>12</v>
      </c>
      <c r="X190" s="54" t="s">
        <v>12</v>
      </c>
      <c r="Y190" s="54" t="s">
        <v>12</v>
      </c>
      <c r="Z190" s="54" t="s">
        <v>12</v>
      </c>
      <c r="AA190" s="54"/>
      <c r="AB190" s="54" t="s">
        <v>17</v>
      </c>
      <c r="AC190" s="54" t="s">
        <v>12</v>
      </c>
      <c r="AD190" s="54" t="s">
        <v>12</v>
      </c>
      <c r="AE190" s="55" t="s">
        <v>483</v>
      </c>
      <c r="AF190" s="55" t="s">
        <v>484</v>
      </c>
    </row>
    <row r="191" spans="1:34" s="75" customFormat="1" ht="28.5" customHeight="1" thickBot="1" x14ac:dyDescent="0.3">
      <c r="A191" s="96"/>
      <c r="B191" s="97"/>
      <c r="C191" s="97"/>
      <c r="D191" s="98"/>
      <c r="E191" s="144" t="s">
        <v>696</v>
      </c>
      <c r="F191" s="116">
        <f>SUM(F182:F190)</f>
        <v>1328425228</v>
      </c>
      <c r="G191" s="99"/>
      <c r="H191" s="100"/>
      <c r="I191" s="101"/>
      <c r="J191" s="100"/>
      <c r="K191" s="101"/>
      <c r="L191" s="100"/>
      <c r="M191" s="101"/>
      <c r="N191" s="100"/>
      <c r="O191" s="101"/>
      <c r="P191" s="100"/>
      <c r="Q191" s="101"/>
      <c r="R191" s="102"/>
      <c r="S191" s="103"/>
      <c r="T191" s="104"/>
      <c r="U191" s="104"/>
      <c r="V191" s="97"/>
      <c r="W191" s="97"/>
      <c r="X191" s="97"/>
      <c r="Y191" s="97"/>
      <c r="Z191" s="97"/>
      <c r="AA191" s="97"/>
      <c r="AB191" s="97"/>
      <c r="AC191" s="97"/>
      <c r="AD191" s="97"/>
      <c r="AE191" s="98"/>
      <c r="AF191" s="105"/>
      <c r="AH191" s="76"/>
    </row>
    <row r="192" spans="1:34" s="75" customFormat="1" ht="28.5" customHeight="1" thickBot="1" x14ac:dyDescent="0.3">
      <c r="A192" s="106"/>
      <c r="B192" s="107"/>
      <c r="C192" s="107"/>
      <c r="D192" s="108"/>
      <c r="E192" s="108"/>
      <c r="F192" s="117">
        <f>+F191/'Montos de Referencia'!$I$3</f>
        <v>88443756.857523307</v>
      </c>
      <c r="G192" s="109"/>
      <c r="H192" s="110"/>
      <c r="I192" s="111"/>
      <c r="J192" s="110"/>
      <c r="K192" s="111"/>
      <c r="L192" s="110"/>
      <c r="M192" s="111"/>
      <c r="N192" s="110"/>
      <c r="O192" s="111"/>
      <c r="P192" s="110"/>
      <c r="Q192" s="111"/>
      <c r="R192" s="112"/>
      <c r="S192" s="113"/>
      <c r="T192" s="114"/>
      <c r="U192" s="114"/>
      <c r="V192" s="107"/>
      <c r="W192" s="107"/>
      <c r="X192" s="107"/>
      <c r="Y192" s="107"/>
      <c r="Z192" s="107"/>
      <c r="AA192" s="107"/>
      <c r="AB192" s="107"/>
      <c r="AC192" s="107"/>
      <c r="AD192" s="107"/>
      <c r="AE192" s="108"/>
      <c r="AF192" s="115"/>
      <c r="AH192" s="76"/>
    </row>
    <row r="193" spans="1:34" s="75" customFormat="1" ht="6.75" customHeight="1" x14ac:dyDescent="0.25">
      <c r="A193" s="79"/>
      <c r="B193" s="80"/>
      <c r="C193" s="80"/>
      <c r="D193" s="81"/>
      <c r="E193" s="81"/>
      <c r="F193" s="82"/>
      <c r="G193" s="83"/>
      <c r="H193" s="84"/>
      <c r="I193" s="85"/>
      <c r="J193" s="84"/>
      <c r="K193" s="85"/>
      <c r="L193" s="84"/>
      <c r="M193" s="85"/>
      <c r="N193" s="84"/>
      <c r="O193" s="85"/>
      <c r="P193" s="84"/>
      <c r="Q193" s="85"/>
      <c r="R193" s="86"/>
      <c r="S193" s="87"/>
      <c r="T193" s="88"/>
      <c r="U193" s="88"/>
      <c r="V193" s="80"/>
      <c r="W193" s="80"/>
      <c r="X193" s="80"/>
      <c r="Y193" s="80"/>
      <c r="Z193" s="80"/>
      <c r="AA193" s="80"/>
      <c r="AB193" s="80"/>
      <c r="AC193" s="80"/>
      <c r="AD193" s="80"/>
      <c r="AE193" s="81"/>
      <c r="AF193" s="89"/>
      <c r="AH193" s="76"/>
    </row>
    <row r="194" spans="1:34" s="73" customFormat="1" x14ac:dyDescent="0.25">
      <c r="A194" s="169" t="s">
        <v>593</v>
      </c>
      <c r="B194" s="169" t="s">
        <v>594</v>
      </c>
      <c r="C194" s="169" t="s">
        <v>32</v>
      </c>
      <c r="D194" s="169" t="s">
        <v>0</v>
      </c>
      <c r="E194" s="169" t="s">
        <v>1</v>
      </c>
      <c r="F194" s="169" t="s">
        <v>28</v>
      </c>
      <c r="G194" s="169" t="s">
        <v>31</v>
      </c>
      <c r="H194" s="169" t="s">
        <v>64</v>
      </c>
      <c r="I194" s="169"/>
      <c r="J194" s="169"/>
      <c r="K194" s="169"/>
      <c r="L194" s="169"/>
      <c r="M194" s="169"/>
      <c r="N194" s="169"/>
      <c r="O194" s="169"/>
      <c r="P194" s="169"/>
      <c r="Q194" s="169"/>
      <c r="R194" s="171" t="s">
        <v>70</v>
      </c>
      <c r="S194" s="169" t="s">
        <v>671</v>
      </c>
      <c r="T194" s="169" t="s">
        <v>605</v>
      </c>
      <c r="U194" s="169" t="s">
        <v>603</v>
      </c>
      <c r="V194" s="169" t="s">
        <v>25</v>
      </c>
      <c r="W194" s="140" t="s">
        <v>29</v>
      </c>
      <c r="X194" s="140"/>
      <c r="Y194" s="140"/>
      <c r="Z194" s="140"/>
      <c r="AA194" s="140"/>
      <c r="AB194" s="140"/>
      <c r="AC194" s="140"/>
      <c r="AD194" s="140"/>
      <c r="AE194" s="170" t="s">
        <v>89</v>
      </c>
      <c r="AF194" s="170"/>
      <c r="AH194" s="74"/>
    </row>
    <row r="195" spans="1:34" s="1" customFormat="1" x14ac:dyDescent="0.25">
      <c r="A195" s="169"/>
      <c r="B195" s="169"/>
      <c r="C195" s="169"/>
      <c r="D195" s="169"/>
      <c r="E195" s="169"/>
      <c r="F195" s="169"/>
      <c r="G195" s="169"/>
      <c r="H195" s="169" t="s">
        <v>65</v>
      </c>
      <c r="I195" s="169"/>
      <c r="J195" s="169" t="s">
        <v>66</v>
      </c>
      <c r="K195" s="169"/>
      <c r="L195" s="169" t="s">
        <v>67</v>
      </c>
      <c r="M195" s="169"/>
      <c r="N195" s="169" t="s">
        <v>68</v>
      </c>
      <c r="O195" s="169"/>
      <c r="P195" s="169" t="s">
        <v>69</v>
      </c>
      <c r="Q195" s="169"/>
      <c r="R195" s="171"/>
      <c r="S195" s="169"/>
      <c r="T195" s="169"/>
      <c r="U195" s="169"/>
      <c r="V195" s="169"/>
      <c r="W195" s="169" t="s">
        <v>2</v>
      </c>
      <c r="X195" s="170" t="s">
        <v>20</v>
      </c>
      <c r="Y195" s="170"/>
      <c r="Z195" s="169" t="s">
        <v>3</v>
      </c>
      <c r="AA195" s="169" t="s">
        <v>5</v>
      </c>
      <c r="AB195" s="169" t="s">
        <v>6</v>
      </c>
      <c r="AC195" s="169" t="s">
        <v>18</v>
      </c>
      <c r="AD195" s="169" t="s">
        <v>22</v>
      </c>
      <c r="AE195" s="169" t="s">
        <v>23</v>
      </c>
      <c r="AF195" s="169" t="s">
        <v>24</v>
      </c>
      <c r="AH195" s="4"/>
    </row>
    <row r="196" spans="1:34" ht="66" customHeight="1" x14ac:dyDescent="0.25">
      <c r="A196" s="169"/>
      <c r="B196" s="169"/>
      <c r="C196" s="169" t="s">
        <v>30</v>
      </c>
      <c r="D196" s="169"/>
      <c r="E196" s="169"/>
      <c r="F196" s="169"/>
      <c r="G196" s="169"/>
      <c r="H196" s="141" t="s">
        <v>104</v>
      </c>
      <c r="I196" s="141">
        <f>+'Criterios y Ponderaciones'!B212</f>
        <v>0</v>
      </c>
      <c r="J196" s="141" t="s">
        <v>689</v>
      </c>
      <c r="K196" s="141">
        <f>+'Criterios y Ponderaciones'!B213</f>
        <v>0</v>
      </c>
      <c r="L196" s="141" t="s">
        <v>106</v>
      </c>
      <c r="M196" s="141">
        <f>+'Criterios y Ponderaciones'!B214</f>
        <v>0</v>
      </c>
      <c r="N196" s="141" t="s">
        <v>107</v>
      </c>
      <c r="O196" s="141">
        <f>+'Criterios y Ponderaciones'!B215</f>
        <v>0</v>
      </c>
      <c r="P196" s="141" t="s">
        <v>108</v>
      </c>
      <c r="Q196" s="141">
        <f>+'Criterios y Ponderaciones'!B216</f>
        <v>0</v>
      </c>
      <c r="R196" s="171"/>
      <c r="S196" s="169"/>
      <c r="T196" s="169"/>
      <c r="U196" s="169"/>
      <c r="V196" s="169"/>
      <c r="W196" s="169"/>
      <c r="X196" s="142" t="s">
        <v>26</v>
      </c>
      <c r="Y196" s="143" t="s">
        <v>4</v>
      </c>
      <c r="Z196" s="169"/>
      <c r="AA196" s="169"/>
      <c r="AB196" s="169"/>
      <c r="AC196" s="169"/>
      <c r="AD196" s="169"/>
      <c r="AE196" s="169"/>
      <c r="AF196" s="169"/>
    </row>
    <row r="197" spans="1:34" ht="86.25" customHeight="1" x14ac:dyDescent="0.25">
      <c r="A197" s="54" t="s">
        <v>592</v>
      </c>
      <c r="B197" s="54"/>
      <c r="C197" s="54"/>
      <c r="D197" s="55" t="s">
        <v>203</v>
      </c>
      <c r="E197" s="55" t="s">
        <v>204</v>
      </c>
      <c r="F197" s="56">
        <f>(134*'Montos de Referencia'!$C$6+2*'Montos de Referencia'!$C$10)*'Montos de Referencia'!$I$3</f>
        <v>573463600</v>
      </c>
      <c r="G197" s="63" t="s">
        <v>667</v>
      </c>
      <c r="H197" s="53" t="s">
        <v>79</v>
      </c>
      <c r="I197" s="34">
        <f>VLOOKUP(H197,'Criterios y Ponderaciones'!$D$48:$J$53,7,0)</f>
        <v>1</v>
      </c>
      <c r="J197" s="53" t="s">
        <v>83</v>
      </c>
      <c r="K197" s="34">
        <f>VLOOKUP(J197,'Criterios y Ponderaciones'!$E$48:$J$52,6,0)</f>
        <v>1</v>
      </c>
      <c r="L197" s="53" t="s">
        <v>49</v>
      </c>
      <c r="M197" s="34">
        <f>VLOOKUP(L197,'Criterios y Ponderaciones'!$F$53:$G$54,2,0)</f>
        <v>0</v>
      </c>
      <c r="N197" s="53" t="s">
        <v>84</v>
      </c>
      <c r="O197" s="34">
        <f>VLOOKUP(N197,'Criterios y Ponderaciones'!$G$48:$J$52,4,0)</f>
        <v>0</v>
      </c>
      <c r="P197" s="53" t="s">
        <v>41</v>
      </c>
      <c r="Q197" s="34">
        <f>VLOOKUP(P197,'Criterios y Ponderaciones'!$F$53:$G$54,2,0)</f>
        <v>1</v>
      </c>
      <c r="R197" s="58">
        <f t="shared" si="5"/>
        <v>536.36363636363637</v>
      </c>
      <c r="S197" s="68">
        <v>2024</v>
      </c>
      <c r="T197" s="57">
        <v>44927</v>
      </c>
      <c r="U197" s="57">
        <f>+T197+720</f>
        <v>45647</v>
      </c>
      <c r="V197" s="54" t="s">
        <v>226</v>
      </c>
      <c r="W197" s="54" t="s">
        <v>8</v>
      </c>
      <c r="X197" s="54" t="s">
        <v>12</v>
      </c>
      <c r="Y197" s="54" t="s">
        <v>12</v>
      </c>
      <c r="Z197" s="54" t="s">
        <v>12</v>
      </c>
      <c r="AA197" s="54" t="s">
        <v>17</v>
      </c>
      <c r="AB197" s="54" t="s">
        <v>27</v>
      </c>
      <c r="AC197" s="54" t="s">
        <v>12</v>
      </c>
      <c r="AD197" s="54" t="s">
        <v>12</v>
      </c>
      <c r="AE197" s="55" t="s">
        <v>633</v>
      </c>
      <c r="AF197" s="55" t="s">
        <v>550</v>
      </c>
    </row>
    <row r="198" spans="1:34" ht="111" customHeight="1" thickBot="1" x14ac:dyDescent="0.3">
      <c r="A198" s="54" t="s">
        <v>592</v>
      </c>
      <c r="B198" s="54"/>
      <c r="C198" s="54"/>
      <c r="D198" s="55" t="s">
        <v>205</v>
      </c>
      <c r="E198" s="55" t="s">
        <v>206</v>
      </c>
      <c r="F198" s="56">
        <f>(140*'Montos de Referencia'!$C$6+2*'Montos de Referencia'!$C$10)*'Montos de Referencia'!$I$3</f>
        <v>597796000</v>
      </c>
      <c r="G198" s="63" t="s">
        <v>510</v>
      </c>
      <c r="H198" s="53" t="s">
        <v>79</v>
      </c>
      <c r="I198" s="34">
        <f>VLOOKUP(H198,'Criterios y Ponderaciones'!$D$48:$J$53,7,0)</f>
        <v>1</v>
      </c>
      <c r="J198" s="53" t="s">
        <v>83</v>
      </c>
      <c r="K198" s="34">
        <f>VLOOKUP(J198,'Criterios y Ponderaciones'!$E$48:$J$52,6,0)</f>
        <v>1</v>
      </c>
      <c r="L198" s="53" t="s">
        <v>49</v>
      </c>
      <c r="M198" s="34">
        <f>VLOOKUP(L198,'Criterios y Ponderaciones'!$F$53:$G$54,2,0)</f>
        <v>0</v>
      </c>
      <c r="N198" s="53" t="s">
        <v>84</v>
      </c>
      <c r="O198" s="34">
        <f>VLOOKUP(N198,'Criterios y Ponderaciones'!$G$48:$J$52,4,0)</f>
        <v>0</v>
      </c>
      <c r="P198" s="53" t="s">
        <v>41</v>
      </c>
      <c r="Q198" s="34">
        <f>VLOOKUP(P198,'Criterios y Ponderaciones'!$F$53:$G$54,2,0)</f>
        <v>1</v>
      </c>
      <c r="R198" s="58">
        <f t="shared" si="5"/>
        <v>536.36363636363637</v>
      </c>
      <c r="S198" s="68">
        <v>2024</v>
      </c>
      <c r="T198" s="57">
        <v>44927</v>
      </c>
      <c r="U198" s="57">
        <f>+T198+720</f>
        <v>45647</v>
      </c>
      <c r="V198" s="54" t="s">
        <v>226</v>
      </c>
      <c r="W198" s="54" t="s">
        <v>8</v>
      </c>
      <c r="X198" s="54" t="s">
        <v>12</v>
      </c>
      <c r="Y198" s="54" t="s">
        <v>12</v>
      </c>
      <c r="Z198" s="54" t="s">
        <v>12</v>
      </c>
      <c r="AA198" s="54" t="s">
        <v>17</v>
      </c>
      <c r="AB198" s="54" t="s">
        <v>27</v>
      </c>
      <c r="AC198" s="54" t="s">
        <v>12</v>
      </c>
      <c r="AD198" s="54" t="s">
        <v>12</v>
      </c>
      <c r="AE198" s="55" t="s">
        <v>634</v>
      </c>
      <c r="AF198" s="55" t="s">
        <v>551</v>
      </c>
    </row>
    <row r="199" spans="1:34" s="75" customFormat="1" ht="28.5" customHeight="1" thickBot="1" x14ac:dyDescent="0.3">
      <c r="A199" s="96"/>
      <c r="B199" s="97"/>
      <c r="C199" s="97"/>
      <c r="D199" s="98"/>
      <c r="E199" s="144" t="s">
        <v>697</v>
      </c>
      <c r="F199" s="116">
        <f>SUM(F197:F198)</f>
        <v>1171259600</v>
      </c>
      <c r="G199" s="99"/>
      <c r="H199" s="100"/>
      <c r="I199" s="101"/>
      <c r="J199" s="100"/>
      <c r="K199" s="101"/>
      <c r="L199" s="100"/>
      <c r="M199" s="101"/>
      <c r="N199" s="100"/>
      <c r="O199" s="101"/>
      <c r="P199" s="100"/>
      <c r="Q199" s="101"/>
      <c r="R199" s="102"/>
      <c r="S199" s="103"/>
      <c r="T199" s="104"/>
      <c r="U199" s="104"/>
      <c r="V199" s="97"/>
      <c r="W199" s="97"/>
      <c r="X199" s="97"/>
      <c r="Y199" s="97"/>
      <c r="Z199" s="97"/>
      <c r="AA199" s="97"/>
      <c r="AB199" s="97"/>
      <c r="AC199" s="97"/>
      <c r="AD199" s="97"/>
      <c r="AE199" s="98"/>
      <c r="AF199" s="105"/>
      <c r="AH199" s="76"/>
    </row>
    <row r="200" spans="1:34" s="75" customFormat="1" ht="28.5" customHeight="1" thickBot="1" x14ac:dyDescent="0.3">
      <c r="A200" s="106"/>
      <c r="B200" s="107"/>
      <c r="C200" s="107"/>
      <c r="D200" s="108"/>
      <c r="E200" s="108"/>
      <c r="F200" s="117">
        <f>+F199/'Montos de Referencia'!$I$3</f>
        <v>77980000</v>
      </c>
      <c r="G200" s="109"/>
      <c r="H200" s="110"/>
      <c r="I200" s="111"/>
      <c r="J200" s="110"/>
      <c r="K200" s="111"/>
      <c r="L200" s="110"/>
      <c r="M200" s="111"/>
      <c r="N200" s="110"/>
      <c r="O200" s="111"/>
      <c r="P200" s="110"/>
      <c r="Q200" s="111"/>
      <c r="R200" s="112"/>
      <c r="S200" s="113"/>
      <c r="T200" s="114"/>
      <c r="U200" s="114"/>
      <c r="V200" s="107"/>
      <c r="W200" s="107"/>
      <c r="X200" s="107"/>
      <c r="Y200" s="107"/>
      <c r="Z200" s="107"/>
      <c r="AA200" s="107"/>
      <c r="AB200" s="107"/>
      <c r="AC200" s="107"/>
      <c r="AD200" s="107"/>
      <c r="AE200" s="108"/>
      <c r="AF200" s="115"/>
      <c r="AH200" s="76"/>
    </row>
    <row r="201" spans="1:34" s="2" customFormat="1" x14ac:dyDescent="0.25">
      <c r="C201" s="9"/>
      <c r="G201" s="30"/>
      <c r="H201" s="30"/>
      <c r="I201" s="30"/>
      <c r="J201" s="30"/>
      <c r="K201" s="30"/>
      <c r="L201" s="30"/>
      <c r="M201" s="30"/>
      <c r="N201" s="30"/>
      <c r="O201" s="30"/>
      <c r="P201" s="30"/>
      <c r="Q201" s="30"/>
      <c r="R201" s="30"/>
      <c r="AH201" s="5"/>
    </row>
    <row r="202" spans="1:34" s="2" customFormat="1" x14ac:dyDescent="0.25">
      <c r="C202" s="9"/>
      <c r="G202" s="30"/>
      <c r="H202" s="30"/>
      <c r="I202" s="30"/>
      <c r="J202" s="30"/>
      <c r="K202" s="30"/>
      <c r="L202" s="30"/>
      <c r="M202" s="30"/>
      <c r="N202" s="30"/>
      <c r="O202" s="30"/>
      <c r="P202" s="30"/>
      <c r="Q202" s="30"/>
      <c r="R202" s="30"/>
      <c r="AH202" s="5"/>
    </row>
    <row r="203" spans="1:34" ht="15.75" thickBot="1" x14ac:dyDescent="0.3"/>
    <row r="204" spans="1:34" ht="19.5" thickBot="1" x14ac:dyDescent="0.3">
      <c r="E204" s="149" t="s">
        <v>270</v>
      </c>
      <c r="F204" s="151">
        <f>+F42+F56+F84+F121+F149+F165+F176+F191+F199</f>
        <v>18628481847.874893</v>
      </c>
      <c r="G204" s="31"/>
      <c r="H204" s="31"/>
      <c r="I204" s="31"/>
      <c r="J204" s="31"/>
      <c r="K204" s="31"/>
      <c r="L204" s="31"/>
      <c r="M204" s="31"/>
      <c r="N204" s="31"/>
      <c r="O204" s="31"/>
      <c r="P204" s="31"/>
      <c r="Q204" s="31"/>
    </row>
    <row r="205" spans="1:34" ht="19.5" thickBot="1" x14ac:dyDescent="0.35">
      <c r="E205" s="146"/>
      <c r="F205" s="146"/>
    </row>
    <row r="206" spans="1:34" ht="19.5" thickBot="1" x14ac:dyDescent="0.3">
      <c r="E206" s="149" t="s">
        <v>271</v>
      </c>
      <c r="F206" s="150">
        <f>+F204/'Montos de Referencia'!$I$3</f>
        <v>1240245129.6854124</v>
      </c>
      <c r="G206" s="152"/>
    </row>
    <row r="207" spans="1:34" ht="18.75" x14ac:dyDescent="0.3">
      <c r="E207" s="146"/>
      <c r="F207" s="146"/>
    </row>
    <row r="208" spans="1:34" ht="19.5" thickBot="1" x14ac:dyDescent="0.35">
      <c r="E208" s="146"/>
      <c r="F208" s="148"/>
    </row>
    <row r="209" spans="5:17" ht="19.5" thickBot="1" x14ac:dyDescent="0.3">
      <c r="E209" s="145" t="s">
        <v>684</v>
      </c>
      <c r="F209" s="147">
        <f>+F43</f>
        <v>92191724.8616772</v>
      </c>
      <c r="G209" s="31"/>
      <c r="H209" s="31"/>
      <c r="I209" s="31"/>
      <c r="J209" s="31"/>
      <c r="K209" s="31"/>
      <c r="L209" s="31"/>
      <c r="M209" s="31"/>
      <c r="N209" s="31"/>
      <c r="O209" s="31"/>
      <c r="P209" s="31"/>
      <c r="Q209" s="31"/>
    </row>
    <row r="210" spans="5:17" ht="19.5" thickBot="1" x14ac:dyDescent="0.35">
      <c r="E210" s="146"/>
      <c r="F210" s="148"/>
    </row>
    <row r="211" spans="5:17" ht="19.5" thickBot="1" x14ac:dyDescent="0.3">
      <c r="E211" s="145" t="s">
        <v>685</v>
      </c>
      <c r="F211" s="147">
        <f>+F57</f>
        <v>24926633.301431425</v>
      </c>
      <c r="G211" s="31"/>
      <c r="H211" s="31"/>
      <c r="I211" s="31"/>
      <c r="J211" s="31"/>
      <c r="K211" s="31"/>
      <c r="L211" s="31"/>
      <c r="M211" s="31"/>
      <c r="N211" s="31"/>
      <c r="O211" s="31"/>
      <c r="P211" s="31"/>
      <c r="Q211" s="31"/>
    </row>
    <row r="212" spans="5:17" ht="19.5" thickBot="1" x14ac:dyDescent="0.35">
      <c r="E212" s="146"/>
      <c r="F212" s="146"/>
    </row>
    <row r="213" spans="5:17" ht="19.5" thickBot="1" x14ac:dyDescent="0.3">
      <c r="E213" s="145" t="s">
        <v>687</v>
      </c>
      <c r="F213" s="147">
        <f>+F85</f>
        <v>209751875.69906792</v>
      </c>
      <c r="G213" s="31"/>
      <c r="H213" s="31"/>
      <c r="I213" s="31"/>
      <c r="J213" s="31"/>
      <c r="K213" s="31"/>
      <c r="L213" s="31"/>
      <c r="M213" s="31"/>
      <c r="N213" s="31"/>
      <c r="O213" s="31"/>
      <c r="P213" s="31"/>
      <c r="Q213" s="31"/>
    </row>
    <row r="214" spans="5:17" ht="19.5" thickBot="1" x14ac:dyDescent="0.35">
      <c r="E214" s="146"/>
      <c r="F214" s="146"/>
    </row>
    <row r="215" spans="5:17" ht="19.5" thickBot="1" x14ac:dyDescent="0.3">
      <c r="E215" s="145" t="s">
        <v>686</v>
      </c>
      <c r="F215" s="147">
        <f>+F122</f>
        <v>345220686.94931757</v>
      </c>
      <c r="G215" s="31"/>
      <c r="H215" s="31"/>
      <c r="I215" s="31"/>
      <c r="J215" s="31"/>
      <c r="K215" s="31"/>
      <c r="L215" s="31"/>
      <c r="M215" s="31"/>
      <c r="N215" s="31"/>
      <c r="O215" s="31"/>
      <c r="P215" s="31"/>
      <c r="Q215" s="31"/>
    </row>
    <row r="216" spans="5:17" ht="15.75" thickBot="1" x14ac:dyDescent="0.3"/>
    <row r="217" spans="5:17" ht="19.5" thickBot="1" x14ac:dyDescent="0.3">
      <c r="E217" s="145" t="s">
        <v>698</v>
      </c>
      <c r="F217" s="147">
        <f>+F150</f>
        <v>238353802.18283957</v>
      </c>
      <c r="G217" s="31"/>
      <c r="H217" s="31"/>
      <c r="I217" s="31"/>
      <c r="J217" s="31"/>
      <c r="K217" s="31"/>
      <c r="L217" s="31"/>
      <c r="M217" s="31"/>
      <c r="N217" s="31"/>
      <c r="O217" s="31"/>
      <c r="P217" s="31"/>
      <c r="Q217" s="31"/>
    </row>
    <row r="218" spans="5:17" ht="15.75" thickBot="1" x14ac:dyDescent="0.3"/>
    <row r="219" spans="5:17" ht="19.5" thickBot="1" x14ac:dyDescent="0.3">
      <c r="E219" s="145" t="s">
        <v>699</v>
      </c>
      <c r="F219" s="147">
        <f>+F166</f>
        <v>104232746.10519308</v>
      </c>
      <c r="G219" s="31"/>
      <c r="H219" s="31"/>
      <c r="I219" s="31"/>
      <c r="J219" s="31"/>
      <c r="K219" s="31"/>
      <c r="L219" s="31"/>
      <c r="M219" s="31"/>
      <c r="N219" s="31"/>
      <c r="O219" s="31"/>
      <c r="P219" s="31"/>
      <c r="Q219" s="31"/>
    </row>
    <row r="220" spans="5:17" ht="15.75" thickBot="1" x14ac:dyDescent="0.3"/>
    <row r="221" spans="5:17" ht="19.5" thickBot="1" x14ac:dyDescent="0.3">
      <c r="E221" s="145" t="s">
        <v>700</v>
      </c>
      <c r="F221" s="147">
        <f>+F177</f>
        <v>59143903.728362188</v>
      </c>
      <c r="G221" s="31"/>
      <c r="H221" s="31"/>
      <c r="I221" s="31"/>
      <c r="J221" s="31"/>
      <c r="K221" s="31"/>
      <c r="L221" s="31"/>
      <c r="M221" s="31"/>
      <c r="N221" s="31"/>
      <c r="O221" s="31"/>
      <c r="P221" s="31"/>
      <c r="Q221" s="31"/>
    </row>
    <row r="222" spans="5:17" ht="15.75" thickBot="1" x14ac:dyDescent="0.3"/>
    <row r="223" spans="5:17" ht="19.5" thickBot="1" x14ac:dyDescent="0.3">
      <c r="E223" s="145" t="s">
        <v>701</v>
      </c>
      <c r="F223" s="147">
        <f>+F192</f>
        <v>88443756.857523307</v>
      </c>
      <c r="G223" s="31"/>
      <c r="H223" s="31"/>
      <c r="I223" s="31"/>
      <c r="J223" s="31"/>
      <c r="K223" s="31"/>
      <c r="L223" s="31"/>
      <c r="M223" s="31"/>
      <c r="N223" s="31"/>
      <c r="O223" s="31"/>
      <c r="P223" s="31"/>
      <c r="Q223" s="31"/>
    </row>
    <row r="224" spans="5:17" ht="15.75" thickBot="1" x14ac:dyDescent="0.3"/>
    <row r="225" spans="5:17" ht="19.5" thickBot="1" x14ac:dyDescent="0.35">
      <c r="E225" s="145" t="s">
        <v>702</v>
      </c>
      <c r="F225" s="147">
        <f>+F200</f>
        <v>77980000</v>
      </c>
      <c r="G225" s="153" t="str">
        <f>IF(F206=(SUM(F209,F211,F213,F215,F217,F219,F221,F223,F225)),"OK!!!","ERROR")</f>
        <v>OK!!!</v>
      </c>
      <c r="H225" s="31"/>
      <c r="I225" s="31"/>
      <c r="J225" s="31"/>
      <c r="K225" s="31"/>
      <c r="L225" s="31"/>
      <c r="M225" s="31"/>
      <c r="N225" s="31"/>
      <c r="O225" s="31"/>
      <c r="P225" s="31"/>
      <c r="Q225" s="31"/>
    </row>
  </sheetData>
  <sortState ref="A82:AH111">
    <sortCondition ref="S82:S111"/>
    <sortCondition descending="1" ref="R82:R111"/>
  </sortState>
  <dataConsolidate/>
  <mergeCells count="308">
    <mergeCell ref="A45:A47"/>
    <mergeCell ref="B45:B47"/>
    <mergeCell ref="C45:C47"/>
    <mergeCell ref="D45:D47"/>
    <mergeCell ref="E45:E47"/>
    <mergeCell ref="AE46:AE47"/>
    <mergeCell ref="AF46:AF47"/>
    <mergeCell ref="T45:T47"/>
    <mergeCell ref="U45:U47"/>
    <mergeCell ref="V45:V47"/>
    <mergeCell ref="AE45:AF45"/>
    <mergeCell ref="H46:I46"/>
    <mergeCell ref="J46:K46"/>
    <mergeCell ref="L46:M46"/>
    <mergeCell ref="N46:O46"/>
    <mergeCell ref="P46:Q46"/>
    <mergeCell ref="W46:W47"/>
    <mergeCell ref="X46:Y46"/>
    <mergeCell ref="Z46:Z47"/>
    <mergeCell ref="AA46:AA47"/>
    <mergeCell ref="AB46:AB47"/>
    <mergeCell ref="AC46:AC47"/>
    <mergeCell ref="AD46:AD47"/>
    <mergeCell ref="AC18:AC19"/>
    <mergeCell ref="AD18:AD19"/>
    <mergeCell ref="AE18:AE19"/>
    <mergeCell ref="AF18:AF19"/>
    <mergeCell ref="F45:F47"/>
    <mergeCell ref="G45:G47"/>
    <mergeCell ref="H45:Q45"/>
    <mergeCell ref="R45:R47"/>
    <mergeCell ref="S45:S47"/>
    <mergeCell ref="J18:K18"/>
    <mergeCell ref="L18:M18"/>
    <mergeCell ref="N18:O18"/>
    <mergeCell ref="P18:Q18"/>
    <mergeCell ref="W18:W19"/>
    <mergeCell ref="X18:Y18"/>
    <mergeCell ref="Z18:Z19"/>
    <mergeCell ref="AA18:AA19"/>
    <mergeCell ref="AB18:AB19"/>
    <mergeCell ref="AF10:AF11"/>
    <mergeCell ref="A17:A19"/>
    <mergeCell ref="B17:B19"/>
    <mergeCell ref="C17:C19"/>
    <mergeCell ref="D17:D19"/>
    <mergeCell ref="E17:E19"/>
    <mergeCell ref="F17:F19"/>
    <mergeCell ref="G17:G19"/>
    <mergeCell ref="H17:Q17"/>
    <mergeCell ref="R17:R19"/>
    <mergeCell ref="S17:S19"/>
    <mergeCell ref="T17:T19"/>
    <mergeCell ref="U17:U19"/>
    <mergeCell ref="W10:W11"/>
    <mergeCell ref="X10:Y10"/>
    <mergeCell ref="Z10:Z11"/>
    <mergeCell ref="AA10:AA11"/>
    <mergeCell ref="AB10:AB11"/>
    <mergeCell ref="A9:A11"/>
    <mergeCell ref="B9:B11"/>
    <mergeCell ref="C9:C11"/>
    <mergeCell ref="V17:V19"/>
    <mergeCell ref="AE17:AF17"/>
    <mergeCell ref="H18:I18"/>
    <mergeCell ref="D9:D11"/>
    <mergeCell ref="E9:E11"/>
    <mergeCell ref="F9:F11"/>
    <mergeCell ref="G9:G11"/>
    <mergeCell ref="H9:Q9"/>
    <mergeCell ref="R9:R11"/>
    <mergeCell ref="S9:S11"/>
    <mergeCell ref="T9:T11"/>
    <mergeCell ref="U9:U11"/>
    <mergeCell ref="V9:V11"/>
    <mergeCell ref="AE9:AF9"/>
    <mergeCell ref="H10:I10"/>
    <mergeCell ref="J10:K10"/>
    <mergeCell ref="L10:M10"/>
    <mergeCell ref="N10:O10"/>
    <mergeCell ref="P10:Q10"/>
    <mergeCell ref="S1:S3"/>
    <mergeCell ref="AE1:AF1"/>
    <mergeCell ref="AA2:AA3"/>
    <mergeCell ref="AB2:AB3"/>
    <mergeCell ref="AC2:AC3"/>
    <mergeCell ref="AD2:AD3"/>
    <mergeCell ref="AE2:AE3"/>
    <mergeCell ref="AF2:AF3"/>
    <mergeCell ref="U1:U3"/>
    <mergeCell ref="V1:V3"/>
    <mergeCell ref="W2:W3"/>
    <mergeCell ref="X2:Y2"/>
    <mergeCell ref="Z2:Z3"/>
    <mergeCell ref="T1:T3"/>
    <mergeCell ref="AC10:AC11"/>
    <mergeCell ref="AD10:AD11"/>
    <mergeCell ref="AE10:AE11"/>
    <mergeCell ref="A1:A3"/>
    <mergeCell ref="B1:B3"/>
    <mergeCell ref="R1:R3"/>
    <mergeCell ref="C1:C3"/>
    <mergeCell ref="D1:D3"/>
    <mergeCell ref="E1:E3"/>
    <mergeCell ref="F1:F3"/>
    <mergeCell ref="G1:G3"/>
    <mergeCell ref="H2:I2"/>
    <mergeCell ref="J2:K2"/>
    <mergeCell ref="L2:M2"/>
    <mergeCell ref="N2:O2"/>
    <mergeCell ref="P2:Q2"/>
    <mergeCell ref="H1:Q1"/>
    <mergeCell ref="A59:A61"/>
    <mergeCell ref="B59:B61"/>
    <mergeCell ref="C59:C61"/>
    <mergeCell ref="D59:D61"/>
    <mergeCell ref="E59:E61"/>
    <mergeCell ref="F59:F61"/>
    <mergeCell ref="G59:G61"/>
    <mergeCell ref="H59:Q59"/>
    <mergeCell ref="R59:R61"/>
    <mergeCell ref="S59:S61"/>
    <mergeCell ref="T59:T61"/>
    <mergeCell ref="U59:U61"/>
    <mergeCell ref="V59:V61"/>
    <mergeCell ref="AE59:AF59"/>
    <mergeCell ref="H60:I60"/>
    <mergeCell ref="J60:K60"/>
    <mergeCell ref="L60:M60"/>
    <mergeCell ref="N60:O60"/>
    <mergeCell ref="P60:Q60"/>
    <mergeCell ref="W60:W61"/>
    <mergeCell ref="X60:Y60"/>
    <mergeCell ref="Z60:Z61"/>
    <mergeCell ref="AA60:AA61"/>
    <mergeCell ref="AB60:AB61"/>
    <mergeCell ref="AC60:AC61"/>
    <mergeCell ref="AD60:AD61"/>
    <mergeCell ref="AE60:AE61"/>
    <mergeCell ref="AF60:AF61"/>
    <mergeCell ref="A87:A89"/>
    <mergeCell ref="B87:B89"/>
    <mergeCell ref="C87:C89"/>
    <mergeCell ref="D87:D89"/>
    <mergeCell ref="E87:E89"/>
    <mergeCell ref="F87:F89"/>
    <mergeCell ref="G87:G89"/>
    <mergeCell ref="H87:Q87"/>
    <mergeCell ref="R87:R89"/>
    <mergeCell ref="S87:S89"/>
    <mergeCell ref="T87:T89"/>
    <mergeCell ref="U87:U89"/>
    <mergeCell ref="V87:V89"/>
    <mergeCell ref="AE87:AF87"/>
    <mergeCell ref="H88:I88"/>
    <mergeCell ref="J88:K88"/>
    <mergeCell ref="L88:M88"/>
    <mergeCell ref="N88:O88"/>
    <mergeCell ref="P88:Q88"/>
    <mergeCell ref="W88:W89"/>
    <mergeCell ref="X88:Y88"/>
    <mergeCell ref="Z88:Z89"/>
    <mergeCell ref="AA88:AA89"/>
    <mergeCell ref="AB88:AB89"/>
    <mergeCell ref="AC88:AC89"/>
    <mergeCell ref="AD88:AD89"/>
    <mergeCell ref="AE88:AE89"/>
    <mergeCell ref="AF88:AF89"/>
    <mergeCell ref="A124:A126"/>
    <mergeCell ref="B124:B126"/>
    <mergeCell ref="C124:C126"/>
    <mergeCell ref="D124:D126"/>
    <mergeCell ref="E124:E126"/>
    <mergeCell ref="F124:F126"/>
    <mergeCell ref="G124:G126"/>
    <mergeCell ref="H124:Q124"/>
    <mergeCell ref="R124:R126"/>
    <mergeCell ref="S124:S126"/>
    <mergeCell ref="T124:T126"/>
    <mergeCell ref="U124:U126"/>
    <mergeCell ref="V124:V126"/>
    <mergeCell ref="AE124:AF124"/>
    <mergeCell ref="H125:I125"/>
    <mergeCell ref="J125:K125"/>
    <mergeCell ref="L125:M125"/>
    <mergeCell ref="N125:O125"/>
    <mergeCell ref="P125:Q125"/>
    <mergeCell ref="W125:W126"/>
    <mergeCell ref="X125:Y125"/>
    <mergeCell ref="Z125:Z126"/>
    <mergeCell ref="AA125:AA126"/>
    <mergeCell ref="AB125:AB126"/>
    <mergeCell ref="AC125:AC126"/>
    <mergeCell ref="AD125:AD126"/>
    <mergeCell ref="AE125:AE126"/>
    <mergeCell ref="AF125:AF126"/>
    <mergeCell ref="A152:A154"/>
    <mergeCell ref="B152:B154"/>
    <mergeCell ref="C152:C154"/>
    <mergeCell ref="D152:D154"/>
    <mergeCell ref="E152:E154"/>
    <mergeCell ref="F152:F154"/>
    <mergeCell ref="G152:G154"/>
    <mergeCell ref="H152:Q152"/>
    <mergeCell ref="R152:R154"/>
    <mergeCell ref="S152:S154"/>
    <mergeCell ref="T152:T154"/>
    <mergeCell ref="U152:U154"/>
    <mergeCell ref="V152:V154"/>
    <mergeCell ref="AE152:AF152"/>
    <mergeCell ref="H153:I153"/>
    <mergeCell ref="J153:K153"/>
    <mergeCell ref="L153:M153"/>
    <mergeCell ref="N153:O153"/>
    <mergeCell ref="P153:Q153"/>
    <mergeCell ref="W153:W154"/>
    <mergeCell ref="X153:Y153"/>
    <mergeCell ref="Z153:Z154"/>
    <mergeCell ref="AA153:AA154"/>
    <mergeCell ref="AB153:AB154"/>
    <mergeCell ref="AC153:AC154"/>
    <mergeCell ref="AD153:AD154"/>
    <mergeCell ref="AE153:AE154"/>
    <mergeCell ref="AF153:AF154"/>
    <mergeCell ref="A168:A170"/>
    <mergeCell ref="B168:B170"/>
    <mergeCell ref="C168:C170"/>
    <mergeCell ref="D168:D170"/>
    <mergeCell ref="E168:E170"/>
    <mergeCell ref="F168:F170"/>
    <mergeCell ref="G168:G170"/>
    <mergeCell ref="H168:Q168"/>
    <mergeCell ref="R168:R170"/>
    <mergeCell ref="S168:S170"/>
    <mergeCell ref="T168:T170"/>
    <mergeCell ref="U168:U170"/>
    <mergeCell ref="V168:V170"/>
    <mergeCell ref="AE168:AF168"/>
    <mergeCell ref="H169:I169"/>
    <mergeCell ref="J169:K169"/>
    <mergeCell ref="L169:M169"/>
    <mergeCell ref="N169:O169"/>
    <mergeCell ref="P169:Q169"/>
    <mergeCell ref="W169:W170"/>
    <mergeCell ref="X169:Y169"/>
    <mergeCell ref="Z169:Z170"/>
    <mergeCell ref="AA169:AA170"/>
    <mergeCell ref="AB169:AB170"/>
    <mergeCell ref="AC169:AC170"/>
    <mergeCell ref="AD169:AD170"/>
    <mergeCell ref="AE169:AE170"/>
    <mergeCell ref="AF169:AF170"/>
    <mergeCell ref="A179:A181"/>
    <mergeCell ref="B179:B181"/>
    <mergeCell ref="C179:C181"/>
    <mergeCell ref="D179:D181"/>
    <mergeCell ref="E179:E181"/>
    <mergeCell ref="F179:F181"/>
    <mergeCell ref="G179:G181"/>
    <mergeCell ref="H179:Q179"/>
    <mergeCell ref="R179:R181"/>
    <mergeCell ref="S179:S181"/>
    <mergeCell ref="T179:T181"/>
    <mergeCell ref="U179:U181"/>
    <mergeCell ref="V179:V181"/>
    <mergeCell ref="AE179:AF179"/>
    <mergeCell ref="H180:I180"/>
    <mergeCell ref="J180:K180"/>
    <mergeCell ref="L180:M180"/>
    <mergeCell ref="N180:O180"/>
    <mergeCell ref="P180:Q180"/>
    <mergeCell ref="W180:W181"/>
    <mergeCell ref="X180:Y180"/>
    <mergeCell ref="Z180:Z181"/>
    <mergeCell ref="AA180:AA181"/>
    <mergeCell ref="AB180:AB181"/>
    <mergeCell ref="AC180:AC181"/>
    <mergeCell ref="AD180:AD181"/>
    <mergeCell ref="AE180:AE181"/>
    <mergeCell ref="AF180:AF181"/>
    <mergeCell ref="A194:A196"/>
    <mergeCell ref="B194:B196"/>
    <mergeCell ref="C194:C196"/>
    <mergeCell ref="D194:D196"/>
    <mergeCell ref="E194:E196"/>
    <mergeCell ref="F194:F196"/>
    <mergeCell ref="G194:G196"/>
    <mergeCell ref="H194:Q194"/>
    <mergeCell ref="R194:R196"/>
    <mergeCell ref="S194:S196"/>
    <mergeCell ref="T194:T196"/>
    <mergeCell ref="U194:U196"/>
    <mergeCell ref="V194:V196"/>
    <mergeCell ref="AE194:AF194"/>
    <mergeCell ref="H195:I195"/>
    <mergeCell ref="J195:K195"/>
    <mergeCell ref="L195:M195"/>
    <mergeCell ref="N195:O195"/>
    <mergeCell ref="P195:Q195"/>
    <mergeCell ref="W195:W196"/>
    <mergeCell ref="X195:Y195"/>
    <mergeCell ref="Z195:Z196"/>
    <mergeCell ref="AA195:AA196"/>
    <mergeCell ref="AB195:AB196"/>
    <mergeCell ref="AC195:AC196"/>
    <mergeCell ref="AD195:AD196"/>
    <mergeCell ref="AE195:AE196"/>
    <mergeCell ref="AF195:AF196"/>
  </mergeCells>
  <pageMargins left="0.70866141732283472" right="0.70866141732283472" top="0.74803149606299213" bottom="0.74803149606299213" header="0.31496062992125984" footer="0.31496062992125984"/>
  <pageSetup paperSize="9" scale="50"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'Criterios y Ponderaciones'!$D$48:$D$52</xm:f>
          </x14:formula1>
          <xm:sqref>H12:H16 H197:H200 H4:H8 H127:H151 H171:H178 H182:H193 H90:H123 H155:H167 H48:H58 H62:H86 H20:H41 H42:H44</xm:sqref>
        </x14:dataValidation>
        <x14:dataValidation type="list" allowBlank="1" showInputMessage="1" showErrorMessage="1">
          <x14:formula1>
            <xm:f>'Criterios y Ponderaciones'!$E$48:$E$52</xm:f>
          </x14:formula1>
          <xm:sqref>J12:J16 J197:J200 J4:J8 J127:J151 J171:J178 J182:J193 J90:J123 J155:J167 J48:J58 J62:J86 J20:J41 J42:J44</xm:sqref>
        </x14:dataValidation>
        <x14:dataValidation type="list" allowBlank="1" showInputMessage="1" showErrorMessage="1">
          <x14:formula1>
            <xm:f>'Criterios y Ponderaciones'!$F$53:$F$54</xm:f>
          </x14:formula1>
          <xm:sqref>P12:P16 L12:L16 P197:P200 P4:P8 L4:L8 L127:L151 L197:L200 L171:L178 P171:P178 P182:P193 L182:L193 L90:L123 P90:P123 P155:P167 P127:P151 L155:L167 L48:L58 P48:P58 P62:P86 L62:L86 P20:P41 P42:P44 L20:L41 L42:L44</xm:sqref>
        </x14:dataValidation>
        <x14:dataValidation type="list" allowBlank="1" showInputMessage="1" showErrorMessage="1">
          <x14:formula1>
            <xm:f>'Criterios y Ponderaciones'!$G$48:$G$52</xm:f>
          </x14:formula1>
          <xm:sqref>N12:N16 N197:N200 N4:N8 N127:N151 N171:N178 N182:N193 N90:N123 N155:N167 N48:N58 N62:N86 N20:N41 N42:N44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54"/>
  <sheetViews>
    <sheetView showGridLines="0" zoomScale="60" zoomScaleNormal="60" workbookViewId="0">
      <selection activeCell="A3" sqref="A3:L3"/>
    </sheetView>
  </sheetViews>
  <sheetFormatPr baseColWidth="10" defaultColWidth="9.140625" defaultRowHeight="15" x14ac:dyDescent="0.2"/>
  <cols>
    <col min="1" max="1" width="16.140625" style="11" customWidth="1"/>
    <col min="2" max="2" width="67.42578125" style="11" bestFit="1" customWidth="1"/>
    <col min="3" max="3" width="20.7109375" style="11" customWidth="1"/>
    <col min="4" max="4" width="34" style="11" bestFit="1" customWidth="1"/>
    <col min="5" max="5" width="32.5703125" style="11" bestFit="1" customWidth="1"/>
    <col min="6" max="6" width="34" style="11" bestFit="1" customWidth="1"/>
    <col min="7" max="7" width="23" style="11" bestFit="1" customWidth="1"/>
    <col min="8" max="15" width="9.42578125" style="11" bestFit="1" customWidth="1"/>
    <col min="16" max="16384" width="9.140625" style="11"/>
  </cols>
  <sheetData>
    <row r="2" spans="1:12" x14ac:dyDescent="0.2">
      <c r="C2" s="12" t="s">
        <v>33</v>
      </c>
      <c r="D2" s="13"/>
      <c r="E2" s="13"/>
    </row>
    <row r="3" spans="1:12" ht="22.5" x14ac:dyDescent="0.3">
      <c r="A3" s="196" t="s">
        <v>34</v>
      </c>
      <c r="B3" s="196"/>
      <c r="C3" s="196"/>
      <c r="D3" s="196"/>
      <c r="E3" s="196"/>
      <c r="F3" s="196"/>
      <c r="G3" s="196"/>
      <c r="H3" s="196"/>
      <c r="I3" s="196"/>
      <c r="J3" s="196"/>
      <c r="K3" s="196"/>
      <c r="L3" s="196"/>
    </row>
    <row r="5" spans="1:12" ht="20.25" customHeight="1" x14ac:dyDescent="0.2">
      <c r="A5" s="14" t="s">
        <v>35</v>
      </c>
    </row>
    <row r="6" spans="1:12" ht="54.75" customHeight="1" x14ac:dyDescent="0.2">
      <c r="A6" s="197" t="s">
        <v>36</v>
      </c>
      <c r="B6" s="197"/>
      <c r="C6" s="197"/>
      <c r="D6" s="197"/>
      <c r="E6" s="197"/>
      <c r="F6" s="197"/>
      <c r="G6" s="197"/>
      <c r="H6" s="197"/>
      <c r="I6" s="197"/>
      <c r="J6" s="197"/>
      <c r="K6" s="197"/>
    </row>
    <row r="7" spans="1:12" x14ac:dyDescent="0.2">
      <c r="A7" s="11" t="s">
        <v>33</v>
      </c>
    </row>
    <row r="8" spans="1:12" x14ac:dyDescent="0.2">
      <c r="A8" s="15" t="s">
        <v>37</v>
      </c>
      <c r="L8" s="11" t="s">
        <v>33</v>
      </c>
    </row>
    <row r="9" spans="1:12" ht="21.75" customHeight="1" x14ac:dyDescent="0.2">
      <c r="A9" s="14" t="s">
        <v>38</v>
      </c>
    </row>
    <row r="10" spans="1:12" s="16" customFormat="1" ht="24.75" customHeight="1" x14ac:dyDescent="0.2">
      <c r="A10" s="22" t="s">
        <v>39</v>
      </c>
      <c r="B10" s="24" t="s">
        <v>40</v>
      </c>
      <c r="L10" s="17"/>
    </row>
    <row r="11" spans="1:12" s="16" customFormat="1" ht="24.75" customHeight="1" x14ac:dyDescent="0.2">
      <c r="A11" s="22" t="s">
        <v>42</v>
      </c>
      <c r="B11" s="24" t="s">
        <v>58</v>
      </c>
      <c r="L11" s="17"/>
    </row>
    <row r="12" spans="1:12" s="16" customFormat="1" ht="24.75" customHeight="1" x14ac:dyDescent="0.2">
      <c r="A12" s="22" t="s">
        <v>44</v>
      </c>
      <c r="B12" s="24" t="s">
        <v>43</v>
      </c>
      <c r="L12" s="17"/>
    </row>
    <row r="13" spans="1:12" s="16" customFormat="1" ht="24.75" customHeight="1" x14ac:dyDescent="0.2">
      <c r="A13" s="22" t="s">
        <v>46</v>
      </c>
      <c r="B13" s="16" t="s">
        <v>45</v>
      </c>
      <c r="L13" s="17"/>
    </row>
    <row r="14" spans="1:12" s="16" customFormat="1" ht="24.75" customHeight="1" x14ac:dyDescent="0.2">
      <c r="A14" s="22" t="s">
        <v>48</v>
      </c>
      <c r="B14" s="16" t="s">
        <v>47</v>
      </c>
      <c r="C14" s="29"/>
      <c r="D14" s="29"/>
      <c r="E14" s="29"/>
      <c r="F14" s="29"/>
      <c r="G14" s="29"/>
      <c r="H14" s="29"/>
      <c r="I14" s="29"/>
      <c r="J14" s="29"/>
      <c r="K14" s="29"/>
      <c r="L14" s="18"/>
    </row>
    <row r="15" spans="1:12" s="16" customFormat="1" ht="24.75" customHeight="1" x14ac:dyDescent="0.2">
      <c r="A15" s="22" t="s">
        <v>51</v>
      </c>
      <c r="B15" s="26" t="s">
        <v>50</v>
      </c>
      <c r="C15" s="27"/>
      <c r="D15" s="27"/>
      <c r="E15" s="27"/>
      <c r="F15" s="27"/>
      <c r="G15" s="27"/>
      <c r="H15" s="27"/>
      <c r="I15" s="27"/>
      <c r="J15" s="27"/>
      <c r="K15" s="27"/>
      <c r="L15" s="17"/>
    </row>
    <row r="16" spans="1:12" ht="24.75" customHeight="1" x14ac:dyDescent="0.2">
      <c r="A16" s="22" t="s">
        <v>59</v>
      </c>
      <c r="B16" s="26" t="s">
        <v>52</v>
      </c>
      <c r="C16" s="27"/>
      <c r="D16" s="27"/>
      <c r="E16" s="27"/>
      <c r="F16" s="27"/>
      <c r="G16" s="27"/>
      <c r="H16" s="27"/>
      <c r="I16" s="27"/>
      <c r="J16" s="27"/>
      <c r="K16" s="27"/>
      <c r="L16" s="19"/>
    </row>
    <row r="17" spans="1:20" x14ac:dyDescent="0.2">
      <c r="B17" s="20"/>
    </row>
    <row r="18" spans="1:20" x14ac:dyDescent="0.2">
      <c r="A18" s="15" t="s">
        <v>53</v>
      </c>
    </row>
    <row r="19" spans="1:20" s="16" customFormat="1" ht="21.75" customHeight="1" x14ac:dyDescent="0.25">
      <c r="A19" s="16" t="s">
        <v>54</v>
      </c>
    </row>
    <row r="20" spans="1:20" s="16" customFormat="1" ht="21.75" customHeight="1" x14ac:dyDescent="0.25">
      <c r="A20" s="16" t="s">
        <v>55</v>
      </c>
    </row>
    <row r="22" spans="1:20" ht="18" x14ac:dyDescent="0.2">
      <c r="B22" s="21"/>
      <c r="G22" s="198" t="s">
        <v>56</v>
      </c>
      <c r="H22" s="198"/>
      <c r="I22" s="198"/>
      <c r="J22" s="198"/>
      <c r="K22" s="198"/>
      <c r="L22" s="198"/>
      <c r="M22" s="198"/>
      <c r="N22" s="198"/>
      <c r="O22" s="198"/>
    </row>
    <row r="23" spans="1:20" x14ac:dyDescent="0.2">
      <c r="A23" s="21" t="s">
        <v>57</v>
      </c>
      <c r="B23" s="21" t="s">
        <v>75</v>
      </c>
      <c r="C23" s="21" t="s">
        <v>57</v>
      </c>
      <c r="D23" s="21"/>
      <c r="E23" s="21"/>
      <c r="F23" s="21"/>
      <c r="H23" s="21">
        <v>1</v>
      </c>
      <c r="I23" s="21">
        <v>2</v>
      </c>
      <c r="J23" s="21">
        <v>3</v>
      </c>
      <c r="K23" s="21">
        <v>4</v>
      </c>
      <c r="L23" s="21">
        <v>5</v>
      </c>
      <c r="M23" s="21">
        <v>6</v>
      </c>
      <c r="N23" s="21">
        <v>7</v>
      </c>
      <c r="O23" s="21">
        <v>8</v>
      </c>
      <c r="P23" s="21">
        <v>9</v>
      </c>
      <c r="Q23" s="64">
        <v>10</v>
      </c>
      <c r="R23" s="64">
        <v>11</v>
      </c>
      <c r="S23" s="64"/>
      <c r="T23" s="64"/>
    </row>
    <row r="24" spans="1:20" x14ac:dyDescent="0.2">
      <c r="A24" s="22" t="s">
        <v>39</v>
      </c>
      <c r="B24" s="23">
        <f>AVERAGE(H24:R24)</f>
        <v>0.20909090909090911</v>
      </c>
      <c r="C24" s="24" t="s">
        <v>40</v>
      </c>
      <c r="D24" s="25"/>
      <c r="E24" s="25"/>
      <c r="F24" s="66"/>
      <c r="H24" s="24">
        <v>0.2</v>
      </c>
      <c r="I24" s="24">
        <v>0.25</v>
      </c>
      <c r="J24" s="24">
        <v>0.2</v>
      </c>
      <c r="K24" s="24">
        <v>0.2</v>
      </c>
      <c r="L24" s="24">
        <v>0.2</v>
      </c>
      <c r="M24" s="24">
        <v>0.25</v>
      </c>
      <c r="N24" s="24">
        <v>0.25</v>
      </c>
      <c r="O24" s="24">
        <v>0.2</v>
      </c>
      <c r="P24" s="24">
        <v>0.1</v>
      </c>
      <c r="Q24" s="24">
        <v>0.25</v>
      </c>
      <c r="R24" s="24">
        <v>0.2</v>
      </c>
      <c r="S24" s="65"/>
      <c r="T24" s="65"/>
    </row>
    <row r="25" spans="1:20" x14ac:dyDescent="0.2">
      <c r="A25" s="22" t="s">
        <v>42</v>
      </c>
      <c r="B25" s="23">
        <f t="shared" ref="B25:B28" si="0">AVERAGE(H25:R25)</f>
        <v>0.18636363636363634</v>
      </c>
      <c r="C25" s="24" t="s">
        <v>58</v>
      </c>
      <c r="D25" s="25"/>
      <c r="E25" s="25"/>
      <c r="F25" s="66"/>
      <c r="H25" s="24">
        <v>0.25</v>
      </c>
      <c r="I25" s="24">
        <v>0.2</v>
      </c>
      <c r="J25" s="24">
        <v>0.2</v>
      </c>
      <c r="K25" s="24">
        <v>0.15</v>
      </c>
      <c r="L25" s="24">
        <v>0.2</v>
      </c>
      <c r="M25" s="24">
        <v>0.1</v>
      </c>
      <c r="N25" s="24">
        <v>0.2</v>
      </c>
      <c r="O25" s="24">
        <v>0.25</v>
      </c>
      <c r="P25" s="24">
        <v>0.15</v>
      </c>
      <c r="Q25" s="24">
        <v>0.1</v>
      </c>
      <c r="R25" s="24">
        <v>0.25</v>
      </c>
      <c r="S25" s="65"/>
      <c r="T25" s="65"/>
    </row>
    <row r="26" spans="1:20" x14ac:dyDescent="0.2">
      <c r="A26" s="22" t="s">
        <v>44</v>
      </c>
      <c r="B26" s="23">
        <f t="shared" si="0"/>
        <v>0.27727272727272728</v>
      </c>
      <c r="C26" s="24" t="s">
        <v>43</v>
      </c>
      <c r="D26" s="25"/>
      <c r="E26" s="25"/>
      <c r="F26" s="66"/>
      <c r="H26" s="24">
        <v>0.3</v>
      </c>
      <c r="I26" s="24">
        <v>0.2</v>
      </c>
      <c r="J26" s="24">
        <v>0.3</v>
      </c>
      <c r="K26" s="24">
        <v>0.2</v>
      </c>
      <c r="L26" s="24">
        <v>0.35</v>
      </c>
      <c r="M26" s="24">
        <v>0.3</v>
      </c>
      <c r="N26" s="24">
        <v>0.25</v>
      </c>
      <c r="O26" s="24">
        <v>0.2</v>
      </c>
      <c r="P26" s="24">
        <v>0.3</v>
      </c>
      <c r="Q26" s="24">
        <v>0.35</v>
      </c>
      <c r="R26" s="24">
        <v>0.3</v>
      </c>
      <c r="S26" s="65"/>
      <c r="T26" s="65"/>
    </row>
    <row r="27" spans="1:20" x14ac:dyDescent="0.2">
      <c r="A27" s="22" t="s">
        <v>46</v>
      </c>
      <c r="B27" s="23">
        <f t="shared" si="0"/>
        <v>0.18636363636363634</v>
      </c>
      <c r="C27" s="16" t="s">
        <v>47</v>
      </c>
      <c r="F27" s="66"/>
      <c r="H27" s="24">
        <v>0.2</v>
      </c>
      <c r="I27" s="24">
        <v>0.15</v>
      </c>
      <c r="J27" s="24">
        <v>0.2</v>
      </c>
      <c r="K27" s="24">
        <v>0.15</v>
      </c>
      <c r="L27" s="24">
        <v>0.1</v>
      </c>
      <c r="M27" s="24">
        <v>0.25</v>
      </c>
      <c r="N27" s="24">
        <v>0.2</v>
      </c>
      <c r="O27" s="24">
        <v>0.15</v>
      </c>
      <c r="P27" s="24">
        <v>0.3</v>
      </c>
      <c r="Q27" s="24">
        <v>0.15</v>
      </c>
      <c r="R27" s="24">
        <v>0.2</v>
      </c>
      <c r="S27" s="65"/>
      <c r="T27" s="65"/>
    </row>
    <row r="28" spans="1:20" ht="15" customHeight="1" x14ac:dyDescent="0.2">
      <c r="A28" s="22" t="s">
        <v>48</v>
      </c>
      <c r="B28" s="23">
        <f t="shared" si="0"/>
        <v>0.1409090909090909</v>
      </c>
      <c r="C28" s="26" t="s">
        <v>50</v>
      </c>
      <c r="D28" s="27"/>
      <c r="E28" s="27"/>
      <c r="F28" s="66"/>
      <c r="H28" s="24">
        <v>0.05</v>
      </c>
      <c r="I28" s="24">
        <v>0.2</v>
      </c>
      <c r="J28" s="24">
        <v>0.1</v>
      </c>
      <c r="K28" s="24">
        <v>0.3</v>
      </c>
      <c r="L28" s="24">
        <v>0.15</v>
      </c>
      <c r="M28" s="24">
        <v>0.1</v>
      </c>
      <c r="N28" s="24">
        <v>0.1</v>
      </c>
      <c r="O28" s="24">
        <v>0.2</v>
      </c>
      <c r="P28" s="24">
        <v>0.15</v>
      </c>
      <c r="Q28" s="24">
        <v>0.15</v>
      </c>
      <c r="R28" s="24">
        <v>0.05</v>
      </c>
      <c r="S28" s="65"/>
      <c r="T28" s="65"/>
    </row>
    <row r="29" spans="1:20" ht="15" customHeight="1" x14ac:dyDescent="0.2">
      <c r="A29" s="22"/>
      <c r="B29" s="23"/>
      <c r="C29" s="26"/>
      <c r="D29" s="26"/>
      <c r="E29" s="26"/>
      <c r="F29" s="66"/>
      <c r="H29" s="24"/>
      <c r="I29" s="24"/>
      <c r="J29" s="24"/>
      <c r="K29" s="24"/>
      <c r="L29" s="24"/>
      <c r="M29" s="24"/>
      <c r="N29" s="24"/>
      <c r="O29" s="24"/>
      <c r="P29" s="24"/>
      <c r="Q29" s="65"/>
      <c r="R29" s="65"/>
      <c r="S29" s="65"/>
      <c r="T29" s="65"/>
    </row>
    <row r="30" spans="1:20" x14ac:dyDescent="0.2">
      <c r="D30" s="25"/>
      <c r="E30" s="25"/>
      <c r="F30" s="25"/>
      <c r="H30" s="24"/>
      <c r="J30" s="25"/>
      <c r="K30" s="25"/>
      <c r="L30" s="25"/>
      <c r="M30" s="25"/>
    </row>
    <row r="31" spans="1:20" x14ac:dyDescent="0.2">
      <c r="A31" s="21" t="s">
        <v>60</v>
      </c>
      <c r="B31" s="28">
        <f>SUM(B24:B29)</f>
        <v>1</v>
      </c>
      <c r="C31" s="28"/>
      <c r="D31" s="28"/>
      <c r="E31" s="28"/>
      <c r="F31" s="28"/>
      <c r="H31" s="28">
        <f t="shared" ref="H31:R31" si="1">SUM(H24:H29)</f>
        <v>1</v>
      </c>
      <c r="I31" s="28">
        <f t="shared" si="1"/>
        <v>1</v>
      </c>
      <c r="J31" s="28">
        <f t="shared" si="1"/>
        <v>0.99999999999999989</v>
      </c>
      <c r="K31" s="28">
        <f t="shared" si="1"/>
        <v>1</v>
      </c>
      <c r="L31" s="28">
        <f t="shared" si="1"/>
        <v>1</v>
      </c>
      <c r="M31" s="28">
        <f t="shared" si="1"/>
        <v>0.99999999999999989</v>
      </c>
      <c r="N31" s="28">
        <f t="shared" si="1"/>
        <v>0.99999999999999989</v>
      </c>
      <c r="O31" s="28">
        <f t="shared" si="1"/>
        <v>1</v>
      </c>
      <c r="P31" s="28">
        <f t="shared" si="1"/>
        <v>1</v>
      </c>
      <c r="Q31" s="28">
        <f t="shared" si="1"/>
        <v>1</v>
      </c>
      <c r="R31" s="28">
        <f t="shared" si="1"/>
        <v>1</v>
      </c>
      <c r="S31" s="28"/>
      <c r="T31" s="28"/>
    </row>
    <row r="34" spans="1:10" x14ac:dyDescent="0.2">
      <c r="A34" s="15" t="s">
        <v>61</v>
      </c>
    </row>
    <row r="35" spans="1:10" x14ac:dyDescent="0.2">
      <c r="A35" s="15" t="s">
        <v>62</v>
      </c>
    </row>
    <row r="38" spans="1:10" x14ac:dyDescent="0.2">
      <c r="C38" s="195" t="s">
        <v>74</v>
      </c>
      <c r="D38" s="195"/>
      <c r="E38" s="195"/>
      <c r="F38" s="195"/>
      <c r="G38" s="195"/>
    </row>
    <row r="39" spans="1:10" x14ac:dyDescent="0.2">
      <c r="C39" s="47">
        <v>0</v>
      </c>
      <c r="D39" s="47">
        <v>0.25</v>
      </c>
      <c r="E39" s="47">
        <v>0.5</v>
      </c>
      <c r="F39" s="47">
        <v>0.75</v>
      </c>
      <c r="G39" s="47">
        <v>1</v>
      </c>
    </row>
    <row r="40" spans="1:10" x14ac:dyDescent="0.2">
      <c r="A40" s="22" t="s">
        <v>39</v>
      </c>
      <c r="B40" s="24" t="s">
        <v>40</v>
      </c>
      <c r="C40" s="17" t="s">
        <v>27</v>
      </c>
      <c r="D40" s="17" t="s">
        <v>76</v>
      </c>
      <c r="E40" s="17" t="s">
        <v>77</v>
      </c>
      <c r="F40" s="17" t="s">
        <v>78</v>
      </c>
      <c r="G40" s="17" t="s">
        <v>79</v>
      </c>
    </row>
    <row r="41" spans="1:10" ht="18" x14ac:dyDescent="0.2">
      <c r="A41" s="22" t="s">
        <v>42</v>
      </c>
      <c r="B41" s="24" t="s">
        <v>63</v>
      </c>
      <c r="C41" s="17" t="s">
        <v>27</v>
      </c>
      <c r="D41" s="17" t="s">
        <v>80</v>
      </c>
      <c r="E41" s="17" t="s">
        <v>81</v>
      </c>
      <c r="F41" s="17" t="s">
        <v>82</v>
      </c>
      <c r="G41" s="17" t="s">
        <v>83</v>
      </c>
    </row>
    <row r="42" spans="1:10" x14ac:dyDescent="0.2">
      <c r="A42" s="22" t="s">
        <v>44</v>
      </c>
      <c r="B42" s="24" t="s">
        <v>43</v>
      </c>
      <c r="C42" s="38" t="s">
        <v>49</v>
      </c>
      <c r="D42" s="38" t="s">
        <v>27</v>
      </c>
      <c r="E42" s="38" t="s">
        <v>27</v>
      </c>
      <c r="F42" s="38" t="s">
        <v>27</v>
      </c>
      <c r="G42" s="38" t="s">
        <v>41</v>
      </c>
    </row>
    <row r="43" spans="1:10" x14ac:dyDescent="0.2">
      <c r="A43" s="22" t="s">
        <v>46</v>
      </c>
      <c r="B43" s="16" t="s">
        <v>47</v>
      </c>
      <c r="C43" s="17" t="s">
        <v>84</v>
      </c>
      <c r="D43" s="17" t="s">
        <v>85</v>
      </c>
      <c r="E43" s="17" t="s">
        <v>86</v>
      </c>
      <c r="F43" s="17" t="s">
        <v>87</v>
      </c>
      <c r="G43" s="17" t="s">
        <v>88</v>
      </c>
    </row>
    <row r="44" spans="1:10" x14ac:dyDescent="0.2">
      <c r="A44" s="22" t="s">
        <v>48</v>
      </c>
      <c r="B44" s="26" t="s">
        <v>50</v>
      </c>
      <c r="C44" s="17" t="s">
        <v>49</v>
      </c>
      <c r="D44" s="17" t="s">
        <v>27</v>
      </c>
      <c r="E44" s="17" t="s">
        <v>27</v>
      </c>
      <c r="F44" s="17" t="s">
        <v>27</v>
      </c>
      <c r="G44" s="17" t="s">
        <v>41</v>
      </c>
    </row>
    <row r="48" spans="1:10" x14ac:dyDescent="0.2">
      <c r="D48" s="11" t="s">
        <v>27</v>
      </c>
      <c r="E48" s="11" t="s">
        <v>27</v>
      </c>
      <c r="G48" s="11" t="s">
        <v>84</v>
      </c>
      <c r="H48" s="11" t="s">
        <v>49</v>
      </c>
      <c r="I48" s="11" t="s">
        <v>49</v>
      </c>
      <c r="J48" s="11">
        <v>0</v>
      </c>
    </row>
    <row r="49" spans="4:10" x14ac:dyDescent="0.2">
      <c r="D49" s="11" t="s">
        <v>76</v>
      </c>
      <c r="E49" s="11" t="s">
        <v>80</v>
      </c>
      <c r="G49" s="11" t="s">
        <v>85</v>
      </c>
      <c r="H49" s="11" t="s">
        <v>27</v>
      </c>
      <c r="I49" s="11" t="s">
        <v>27</v>
      </c>
      <c r="J49" s="11">
        <v>0.25</v>
      </c>
    </row>
    <row r="50" spans="4:10" x14ac:dyDescent="0.2">
      <c r="D50" s="11" t="s">
        <v>77</v>
      </c>
      <c r="E50" s="11" t="s">
        <v>81</v>
      </c>
      <c r="G50" s="11" t="s">
        <v>86</v>
      </c>
      <c r="H50" s="11" t="s">
        <v>27</v>
      </c>
      <c r="I50" s="11" t="s">
        <v>27</v>
      </c>
      <c r="J50" s="11">
        <v>0.5</v>
      </c>
    </row>
    <row r="51" spans="4:10" x14ac:dyDescent="0.2">
      <c r="D51" s="11" t="s">
        <v>78</v>
      </c>
      <c r="E51" s="11" t="s">
        <v>82</v>
      </c>
      <c r="G51" s="11" t="s">
        <v>87</v>
      </c>
      <c r="H51" s="11" t="s">
        <v>27</v>
      </c>
      <c r="I51" s="11" t="s">
        <v>27</v>
      </c>
      <c r="J51" s="11">
        <v>0.75</v>
      </c>
    </row>
    <row r="52" spans="4:10" x14ac:dyDescent="0.2">
      <c r="D52" s="11" t="s">
        <v>79</v>
      </c>
      <c r="E52" s="11" t="s">
        <v>83</v>
      </c>
      <c r="G52" s="11" t="s">
        <v>88</v>
      </c>
      <c r="H52" s="11" t="s">
        <v>41</v>
      </c>
      <c r="I52" s="11" t="s">
        <v>41</v>
      </c>
      <c r="J52" s="11">
        <v>1</v>
      </c>
    </row>
    <row r="53" spans="4:10" x14ac:dyDescent="0.2">
      <c r="F53" s="11" t="s">
        <v>49</v>
      </c>
      <c r="G53" s="11">
        <v>0</v>
      </c>
    </row>
    <row r="54" spans="4:10" x14ac:dyDescent="0.2">
      <c r="F54" s="11" t="s">
        <v>41</v>
      </c>
      <c r="G54" s="11">
        <v>1</v>
      </c>
    </row>
  </sheetData>
  <mergeCells count="4">
    <mergeCell ref="C38:G38"/>
    <mergeCell ref="A3:L3"/>
    <mergeCell ref="A6:K6"/>
    <mergeCell ref="G22:O2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76"/>
  <sheetViews>
    <sheetView showGridLines="0" zoomScale="90" zoomScaleNormal="90" workbookViewId="0">
      <selection activeCell="C10" sqref="C10"/>
    </sheetView>
  </sheetViews>
  <sheetFormatPr baseColWidth="10" defaultRowHeight="15" x14ac:dyDescent="0.25"/>
  <cols>
    <col min="1" max="1" width="3.5703125" style="41" customWidth="1"/>
    <col min="2" max="2" width="36.7109375" style="43" customWidth="1"/>
    <col min="3" max="3" width="26" style="41" customWidth="1"/>
    <col min="4" max="4" width="11.42578125" style="41"/>
    <col min="5" max="5" width="18.7109375" style="41" bestFit="1" customWidth="1"/>
    <col min="6" max="7" width="11.42578125" style="41"/>
    <col min="8" max="8" width="13.85546875" style="41" customWidth="1"/>
    <col min="9" max="9" width="14" style="41" customWidth="1"/>
    <col min="10" max="10" width="11.42578125" style="41"/>
    <col min="11" max="11" width="20" style="41" customWidth="1"/>
    <col min="12" max="16384" width="11.42578125" style="41"/>
  </cols>
  <sheetData>
    <row r="2" spans="2:11" ht="30.75" customHeight="1" x14ac:dyDescent="0.25">
      <c r="B2" s="48" t="s">
        <v>90</v>
      </c>
      <c r="C2" s="48" t="s">
        <v>91</v>
      </c>
      <c r="D2" s="40"/>
      <c r="E2" s="39"/>
      <c r="F2" s="51"/>
      <c r="G2" s="51"/>
      <c r="H2" s="51"/>
      <c r="I2" s="59">
        <v>42620</v>
      </c>
    </row>
    <row r="3" spans="2:11" ht="33" customHeight="1" x14ac:dyDescent="0.25">
      <c r="B3" s="49" t="s">
        <v>93</v>
      </c>
      <c r="C3" s="50">
        <f>7000000*1.3</f>
        <v>9100000</v>
      </c>
      <c r="F3" s="60" t="s">
        <v>259</v>
      </c>
      <c r="G3" s="60"/>
      <c r="H3" s="60"/>
      <c r="I3" s="61">
        <v>15.02</v>
      </c>
      <c r="K3" s="61">
        <f>+C5*I3</f>
        <v>19526000</v>
      </c>
    </row>
    <row r="4" spans="2:11" ht="33" customHeight="1" x14ac:dyDescent="0.25">
      <c r="B4" s="49" t="s">
        <v>92</v>
      </c>
      <c r="C4" s="50">
        <f>8500000*1.3</f>
        <v>11050000</v>
      </c>
      <c r="K4" s="61">
        <v>90000000</v>
      </c>
    </row>
    <row r="5" spans="2:11" ht="33" customHeight="1" x14ac:dyDescent="0.25">
      <c r="B5" s="49" t="s">
        <v>94</v>
      </c>
      <c r="C5" s="50">
        <v>1300000</v>
      </c>
      <c r="K5" s="61">
        <f>+K4-K3</f>
        <v>70474000</v>
      </c>
    </row>
    <row r="6" spans="2:11" ht="24" customHeight="1" x14ac:dyDescent="0.25">
      <c r="B6" s="49" t="s">
        <v>95</v>
      </c>
      <c r="C6" s="50">
        <v>270000</v>
      </c>
      <c r="E6" s="77"/>
      <c r="K6" s="61"/>
    </row>
    <row r="7" spans="2:11" ht="24" customHeight="1" x14ac:dyDescent="0.25">
      <c r="B7" s="49" t="s">
        <v>96</v>
      </c>
      <c r="C7" s="50">
        <v>350000</v>
      </c>
      <c r="E7" s="77"/>
      <c r="K7" s="61"/>
    </row>
    <row r="8" spans="2:11" ht="24" customHeight="1" x14ac:dyDescent="0.25">
      <c r="B8" s="49" t="s">
        <v>97</v>
      </c>
      <c r="C8" s="50">
        <v>310000</v>
      </c>
      <c r="E8" s="78"/>
    </row>
    <row r="9" spans="2:11" ht="38.25" customHeight="1" x14ac:dyDescent="0.25">
      <c r="B9" s="49" t="s">
        <v>101</v>
      </c>
      <c r="C9" s="50">
        <v>1580000</v>
      </c>
    </row>
    <row r="10" spans="2:11" ht="24" customHeight="1" x14ac:dyDescent="0.25">
      <c r="B10" s="49" t="s">
        <v>261</v>
      </c>
      <c r="C10" s="50">
        <v>1000000</v>
      </c>
    </row>
    <row r="11" spans="2:11" ht="9" customHeight="1" x14ac:dyDescent="0.25">
      <c r="C11" s="44"/>
    </row>
    <row r="12" spans="2:11" s="51" customFormat="1" ht="12.75" x14ac:dyDescent="0.25">
      <c r="B12" s="51" t="s">
        <v>102</v>
      </c>
      <c r="C12" s="52"/>
    </row>
    <row r="13" spans="2:11" s="51" customFormat="1" ht="12.75" x14ac:dyDescent="0.25">
      <c r="B13" s="51" t="s">
        <v>103</v>
      </c>
      <c r="C13" s="52"/>
    </row>
    <row r="14" spans="2:11" s="51" customFormat="1" ht="12.75" x14ac:dyDescent="0.25">
      <c r="C14" s="52"/>
    </row>
    <row r="15" spans="2:11" s="51" customFormat="1" ht="12.75" x14ac:dyDescent="0.25">
      <c r="C15" s="52"/>
    </row>
    <row r="16" spans="2:11" x14ac:dyDescent="0.25">
      <c r="C16" s="44"/>
    </row>
    <row r="17" spans="3:3" x14ac:dyDescent="0.25">
      <c r="C17" s="44"/>
    </row>
    <row r="18" spans="3:3" x14ac:dyDescent="0.25">
      <c r="C18" s="44"/>
    </row>
    <row r="19" spans="3:3" x14ac:dyDescent="0.25">
      <c r="C19" s="44"/>
    </row>
    <row r="20" spans="3:3" x14ac:dyDescent="0.25">
      <c r="C20" s="44"/>
    </row>
    <row r="21" spans="3:3" x14ac:dyDescent="0.25">
      <c r="C21" s="44"/>
    </row>
    <row r="22" spans="3:3" x14ac:dyDescent="0.25">
      <c r="C22" s="44"/>
    </row>
    <row r="23" spans="3:3" x14ac:dyDescent="0.25">
      <c r="C23" s="44"/>
    </row>
    <row r="24" spans="3:3" x14ac:dyDescent="0.25">
      <c r="C24" s="44"/>
    </row>
    <row r="25" spans="3:3" x14ac:dyDescent="0.25">
      <c r="C25" s="44"/>
    </row>
    <row r="26" spans="3:3" x14ac:dyDescent="0.25">
      <c r="C26" s="44"/>
    </row>
    <row r="27" spans="3:3" x14ac:dyDescent="0.25">
      <c r="C27" s="44"/>
    </row>
    <row r="28" spans="3:3" x14ac:dyDescent="0.25">
      <c r="C28" s="44"/>
    </row>
    <row r="29" spans="3:3" x14ac:dyDescent="0.25">
      <c r="C29" s="44"/>
    </row>
    <row r="30" spans="3:3" x14ac:dyDescent="0.25">
      <c r="C30" s="44"/>
    </row>
    <row r="31" spans="3:3" x14ac:dyDescent="0.25">
      <c r="C31" s="44"/>
    </row>
    <row r="32" spans="3:3" x14ac:dyDescent="0.25">
      <c r="C32" s="44"/>
    </row>
    <row r="33" spans="3:3" x14ac:dyDescent="0.25">
      <c r="C33" s="44"/>
    </row>
    <row r="34" spans="3:3" x14ac:dyDescent="0.25">
      <c r="C34" s="44"/>
    </row>
    <row r="35" spans="3:3" x14ac:dyDescent="0.25">
      <c r="C35" s="44"/>
    </row>
    <row r="36" spans="3:3" x14ac:dyDescent="0.25">
      <c r="C36" s="44"/>
    </row>
    <row r="37" spans="3:3" x14ac:dyDescent="0.25">
      <c r="C37" s="44"/>
    </row>
    <row r="38" spans="3:3" x14ac:dyDescent="0.25">
      <c r="C38" s="44"/>
    </row>
    <row r="39" spans="3:3" x14ac:dyDescent="0.25">
      <c r="C39" s="44"/>
    </row>
    <row r="40" spans="3:3" x14ac:dyDescent="0.25">
      <c r="C40" s="44"/>
    </row>
    <row r="41" spans="3:3" x14ac:dyDescent="0.25">
      <c r="C41" s="44"/>
    </row>
    <row r="42" spans="3:3" x14ac:dyDescent="0.25">
      <c r="C42" s="44"/>
    </row>
    <row r="43" spans="3:3" x14ac:dyDescent="0.25">
      <c r="C43" s="44"/>
    </row>
    <row r="44" spans="3:3" x14ac:dyDescent="0.25">
      <c r="C44" s="44"/>
    </row>
    <row r="45" spans="3:3" x14ac:dyDescent="0.25">
      <c r="C45" s="44"/>
    </row>
    <row r="46" spans="3:3" x14ac:dyDescent="0.25">
      <c r="C46" s="44"/>
    </row>
    <row r="47" spans="3:3" x14ac:dyDescent="0.25">
      <c r="C47" s="44"/>
    </row>
    <row r="48" spans="3:3" x14ac:dyDescent="0.25">
      <c r="C48" s="44"/>
    </row>
    <row r="49" spans="2:3" s="39" customFormat="1" x14ac:dyDescent="0.25">
      <c r="B49" s="42"/>
      <c r="C49" s="45"/>
    </row>
    <row r="50" spans="2:3" s="39" customFormat="1" x14ac:dyDescent="0.25">
      <c r="B50" s="42"/>
      <c r="C50" s="45"/>
    </row>
    <row r="51" spans="2:3" s="39" customFormat="1" x14ac:dyDescent="0.25">
      <c r="B51" s="42"/>
      <c r="C51" s="45"/>
    </row>
    <row r="52" spans="2:3" s="39" customFormat="1" x14ac:dyDescent="0.25">
      <c r="B52" s="42"/>
      <c r="C52" s="45"/>
    </row>
    <row r="53" spans="2:3" s="39" customFormat="1" x14ac:dyDescent="0.25">
      <c r="B53" s="42"/>
      <c r="C53" s="45"/>
    </row>
    <row r="54" spans="2:3" s="39" customFormat="1" x14ac:dyDescent="0.25">
      <c r="B54" s="42"/>
      <c r="C54" s="45"/>
    </row>
    <row r="55" spans="2:3" s="39" customFormat="1" x14ac:dyDescent="0.25">
      <c r="B55" s="42"/>
      <c r="C55" s="45"/>
    </row>
    <row r="56" spans="2:3" s="39" customFormat="1" x14ac:dyDescent="0.25">
      <c r="B56" s="42"/>
      <c r="C56" s="45"/>
    </row>
    <row r="57" spans="2:3" s="39" customFormat="1" x14ac:dyDescent="0.25">
      <c r="B57" s="42"/>
      <c r="C57" s="45"/>
    </row>
    <row r="58" spans="2:3" s="39" customFormat="1" x14ac:dyDescent="0.25">
      <c r="B58" s="42"/>
      <c r="C58" s="45"/>
    </row>
    <row r="59" spans="2:3" s="39" customFormat="1" x14ac:dyDescent="0.25">
      <c r="B59" s="42"/>
      <c r="C59" s="45"/>
    </row>
    <row r="60" spans="2:3" s="39" customFormat="1" x14ac:dyDescent="0.25">
      <c r="B60" s="42"/>
      <c r="C60" s="45"/>
    </row>
    <row r="61" spans="2:3" s="39" customFormat="1" x14ac:dyDescent="0.25">
      <c r="B61" s="42"/>
      <c r="C61" s="45"/>
    </row>
    <row r="62" spans="2:3" s="39" customFormat="1" x14ac:dyDescent="0.25">
      <c r="B62" s="42"/>
      <c r="C62" s="45"/>
    </row>
    <row r="63" spans="2:3" s="39" customFormat="1" x14ac:dyDescent="0.25">
      <c r="B63" s="42"/>
      <c r="C63" s="45"/>
    </row>
    <row r="64" spans="2:3" s="39" customFormat="1" x14ac:dyDescent="0.25">
      <c r="B64" s="42"/>
      <c r="C64" s="45"/>
    </row>
    <row r="65" spans="2:3" s="39" customFormat="1" x14ac:dyDescent="0.25">
      <c r="B65" s="42"/>
      <c r="C65" s="45"/>
    </row>
    <row r="66" spans="2:3" s="39" customFormat="1" x14ac:dyDescent="0.25">
      <c r="B66" s="42"/>
      <c r="C66" s="45"/>
    </row>
    <row r="67" spans="2:3" s="39" customFormat="1" x14ac:dyDescent="0.25">
      <c r="B67" s="42"/>
      <c r="C67" s="46"/>
    </row>
    <row r="68" spans="2:3" s="39" customFormat="1" x14ac:dyDescent="0.25">
      <c r="B68" s="42"/>
      <c r="C68" s="46"/>
    </row>
    <row r="69" spans="2:3" s="39" customFormat="1" x14ac:dyDescent="0.25">
      <c r="B69" s="42"/>
      <c r="C69" s="46"/>
    </row>
    <row r="70" spans="2:3" s="39" customFormat="1" x14ac:dyDescent="0.25">
      <c r="B70" s="42"/>
      <c r="C70" s="46"/>
    </row>
    <row r="71" spans="2:3" s="39" customFormat="1" x14ac:dyDescent="0.25">
      <c r="B71" s="42"/>
    </row>
    <row r="72" spans="2:3" s="39" customFormat="1" x14ac:dyDescent="0.25">
      <c r="B72" s="42"/>
    </row>
    <row r="73" spans="2:3" s="39" customFormat="1" x14ac:dyDescent="0.25">
      <c r="B73" s="42"/>
    </row>
    <row r="74" spans="2:3" s="39" customFormat="1" x14ac:dyDescent="0.25">
      <c r="B74" s="42"/>
    </row>
    <row r="75" spans="2:3" s="39" customFormat="1" x14ac:dyDescent="0.25">
      <c r="B75" s="42"/>
    </row>
    <row r="76" spans="2:3" s="39" customFormat="1" x14ac:dyDescent="0.25">
      <c r="B76" s="42"/>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8"/>
  <sheetViews>
    <sheetView showGridLines="0" workbookViewId="0">
      <selection activeCell="L10" sqref="L10"/>
    </sheetView>
  </sheetViews>
  <sheetFormatPr baseColWidth="10" defaultRowHeight="12.75" x14ac:dyDescent="0.25"/>
  <cols>
    <col min="1" max="1" width="3.5703125" style="35" customWidth="1"/>
    <col min="2" max="2" width="14.140625" style="35" customWidth="1"/>
    <col min="3" max="3" width="17.140625" style="35" customWidth="1"/>
    <col min="4" max="4" width="10.28515625" style="35" customWidth="1"/>
    <col min="5" max="16384" width="11.42578125" style="35"/>
  </cols>
  <sheetData>
    <row r="2" spans="2:11" ht="30" customHeight="1" x14ac:dyDescent="0.25">
      <c r="C2" s="36"/>
      <c r="D2" s="199" t="s">
        <v>20</v>
      </c>
      <c r="E2" s="199"/>
      <c r="F2" s="36"/>
      <c r="G2" s="36"/>
      <c r="H2" s="36"/>
      <c r="I2" s="36"/>
      <c r="J2" s="36"/>
    </row>
    <row r="3" spans="2:11" ht="38.25" x14ac:dyDescent="0.25">
      <c r="B3" s="37" t="s">
        <v>32</v>
      </c>
      <c r="C3" s="36" t="s">
        <v>2</v>
      </c>
      <c r="D3" s="36" t="s">
        <v>26</v>
      </c>
      <c r="E3" s="36" t="s">
        <v>4</v>
      </c>
      <c r="F3" s="36" t="s">
        <v>71</v>
      </c>
      <c r="G3" s="36" t="s">
        <v>5</v>
      </c>
      <c r="H3" s="36" t="s">
        <v>6</v>
      </c>
      <c r="I3" s="36" t="s">
        <v>18</v>
      </c>
      <c r="J3" s="36" t="s">
        <v>22</v>
      </c>
      <c r="K3" s="67" t="s">
        <v>589</v>
      </c>
    </row>
    <row r="4" spans="2:11" ht="7.5" customHeight="1" x14ac:dyDescent="0.25"/>
    <row r="5" spans="2:11" ht="25.5" x14ac:dyDescent="0.25">
      <c r="B5" s="35" t="s">
        <v>98</v>
      </c>
      <c r="C5" s="35" t="s">
        <v>73</v>
      </c>
      <c r="D5" s="35" t="s">
        <v>72</v>
      </c>
      <c r="E5" s="35" t="s">
        <v>9</v>
      </c>
      <c r="F5" s="35" t="s">
        <v>9</v>
      </c>
      <c r="G5" s="35" t="s">
        <v>14</v>
      </c>
      <c r="H5" s="35" t="s">
        <v>16</v>
      </c>
      <c r="I5" s="35" t="s">
        <v>19</v>
      </c>
      <c r="J5" s="35" t="s">
        <v>19</v>
      </c>
      <c r="K5" s="35" t="s">
        <v>590</v>
      </c>
    </row>
    <row r="6" spans="2:11" ht="25.5" x14ac:dyDescent="0.25">
      <c r="B6" s="35" t="s">
        <v>99</v>
      </c>
      <c r="C6" s="35" t="s">
        <v>7</v>
      </c>
      <c r="D6" s="35" t="s">
        <v>21</v>
      </c>
      <c r="E6" s="35" t="s">
        <v>10</v>
      </c>
      <c r="F6" s="35" t="s">
        <v>10</v>
      </c>
      <c r="G6" s="35" t="s">
        <v>13</v>
      </c>
      <c r="H6" s="35" t="s">
        <v>15</v>
      </c>
      <c r="I6" s="35" t="s">
        <v>11</v>
      </c>
      <c r="J6" s="35" t="s">
        <v>11</v>
      </c>
      <c r="K6" s="35" t="s">
        <v>591</v>
      </c>
    </row>
    <row r="7" spans="2:11" x14ac:dyDescent="0.25">
      <c r="B7" s="35" t="s">
        <v>100</v>
      </c>
      <c r="C7" s="35" t="s">
        <v>8</v>
      </c>
      <c r="D7" s="35" t="s">
        <v>12</v>
      </c>
      <c r="E7" s="35" t="s">
        <v>11</v>
      </c>
      <c r="F7" s="35" t="s">
        <v>11</v>
      </c>
      <c r="G7" s="35" t="s">
        <v>17</v>
      </c>
      <c r="H7" s="35" t="s">
        <v>17</v>
      </c>
      <c r="I7" s="35" t="s">
        <v>12</v>
      </c>
      <c r="J7" s="35" t="s">
        <v>12</v>
      </c>
      <c r="K7" s="35" t="s">
        <v>592</v>
      </c>
    </row>
    <row r="8" spans="2:11" x14ac:dyDescent="0.25">
      <c r="E8" s="35" t="s">
        <v>12</v>
      </c>
      <c r="F8" s="35" t="s">
        <v>12</v>
      </c>
      <c r="G8" s="35" t="s">
        <v>27</v>
      </c>
      <c r="H8" s="35" t="s">
        <v>27</v>
      </c>
      <c r="K8" s="35" t="s">
        <v>604</v>
      </c>
    </row>
  </sheetData>
  <mergeCells count="1">
    <mergeCell ref="D2:E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Plan de Obras FREBA</vt:lpstr>
      <vt:lpstr>Criterios y Ponderaciones</vt:lpstr>
      <vt:lpstr>Montos de Referencia</vt:lpstr>
      <vt:lpstr>Referencias</vt:lpstr>
      <vt:lpstr>'Plan de Obras FREBA'!Área_de_impresión</vt:lpstr>
      <vt:lpstr>'Plan de Obras FREBA'!Títulos_a_imprimir</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Eduardo</dc:creator>
  <cp:lastModifiedBy>Modarelli Marcelo</cp:lastModifiedBy>
  <cp:lastPrinted>2016-08-16T19:50:44Z</cp:lastPrinted>
  <dcterms:created xsi:type="dcterms:W3CDTF">2016-04-07T15:02:41Z</dcterms:created>
  <dcterms:modified xsi:type="dcterms:W3CDTF">2016-09-20T14:53:39Z</dcterms:modified>
</cp:coreProperties>
</file>